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08"/>
  <workbookPr/>
  <mc:AlternateContent xmlns:mc="http://schemas.openxmlformats.org/markup-compatibility/2006">
    <mc:Choice Requires="x15">
      <x15ac:absPath xmlns:x15ac="http://schemas.microsoft.com/office/spreadsheetml/2010/11/ac" url="/Users/mattward24/Documents/Programs/Demo Excel/"/>
    </mc:Choice>
  </mc:AlternateContent>
  <xr:revisionPtr revIDLastSave="0" documentId="13_ncr:1_{3CBD4E1C-0422-5841-8CB3-F3A115CDE980}" xr6:coauthVersionLast="47" xr6:coauthVersionMax="47" xr10:uidLastSave="{00000000-0000-0000-0000-000000000000}"/>
  <bookViews>
    <workbookView xWindow="0" yWindow="660" windowWidth="30240" windowHeight="17440" tabRatio="500" activeTab="4" xr2:uid="{00000000-000D-0000-FFFF-FFFF00000000}"/>
  </bookViews>
  <sheets>
    <sheet name="Checks" sheetId="1" r:id="rId1"/>
    <sheet name="HOW TO" sheetId="2" r:id="rId2"/>
    <sheet name="_CONFIG" sheetId="3" state="hidden" r:id="rId3"/>
    <sheet name="Client_Info" sheetId="4" r:id="rId4"/>
    <sheet name="Client_Portfolio" sheetId="5" r:id="rId5"/>
    <sheet name="Mgr_NAVs" sheetId="6" r:id="rId6"/>
    <sheet name="Mgr_Returns" sheetId="7" r:id="rId7"/>
    <sheet name="Bench_Returns" sheetId="8" r:id="rId8"/>
    <sheet name="Policy_Setup" sheetId="9" r:id="rId9"/>
    <sheet name="Policy_Returns" sheetId="10" r:id="rId10"/>
  </sheet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87" i="10" l="1"/>
  <c r="B187" i="10"/>
  <c r="C186" i="10"/>
  <c r="B186" i="10"/>
  <c r="C185" i="10"/>
  <c r="B185" i="10"/>
  <c r="C184" i="10"/>
  <c r="B184" i="10"/>
  <c r="C183" i="10"/>
  <c r="B183" i="10"/>
  <c r="C182" i="10"/>
  <c r="B182" i="10"/>
  <c r="C181" i="10"/>
  <c r="B181" i="10"/>
  <c r="C180" i="10"/>
  <c r="B180" i="10"/>
  <c r="C179" i="10"/>
  <c r="B179" i="10"/>
  <c r="C178" i="10"/>
  <c r="B178" i="10"/>
  <c r="C177" i="10"/>
  <c r="B177" i="10"/>
  <c r="C176" i="10"/>
  <c r="B176" i="10"/>
  <c r="C175" i="10"/>
  <c r="B175" i="10"/>
  <c r="C174" i="10"/>
  <c r="B174" i="10"/>
  <c r="C173" i="10"/>
  <c r="B173" i="10"/>
  <c r="C172" i="10"/>
  <c r="B172" i="10"/>
  <c r="C171" i="10"/>
  <c r="B171" i="10"/>
  <c r="C170" i="10"/>
  <c r="B170" i="10"/>
  <c r="C169" i="10"/>
  <c r="B169" i="10"/>
  <c r="C168" i="10"/>
  <c r="B168" i="10"/>
  <c r="C167" i="10"/>
  <c r="B167" i="10"/>
  <c r="C166" i="10"/>
  <c r="B166" i="10"/>
  <c r="C165" i="10"/>
  <c r="B165" i="10"/>
  <c r="C164" i="10"/>
  <c r="B164" i="10"/>
  <c r="C163" i="10"/>
  <c r="B163" i="10"/>
  <c r="C162" i="10"/>
  <c r="B162" i="10"/>
  <c r="C161" i="10"/>
  <c r="B161" i="10"/>
  <c r="C160" i="10"/>
  <c r="B160" i="10"/>
  <c r="C159" i="10"/>
  <c r="B159" i="10"/>
  <c r="C158" i="10"/>
  <c r="B158" i="10"/>
  <c r="C157" i="10"/>
  <c r="B157" i="10"/>
  <c r="C156" i="10"/>
  <c r="B156" i="10"/>
  <c r="C155" i="10"/>
  <c r="B155" i="10"/>
  <c r="C154" i="10"/>
  <c r="B154" i="10"/>
  <c r="C153" i="10"/>
  <c r="B153" i="10"/>
  <c r="C152" i="10"/>
  <c r="B152" i="10"/>
  <c r="C151" i="10"/>
  <c r="B151" i="10"/>
  <c r="C150" i="10"/>
  <c r="B150" i="10"/>
  <c r="C149" i="10"/>
  <c r="B149" i="10"/>
  <c r="C148" i="10"/>
  <c r="B148" i="10"/>
  <c r="C147" i="10"/>
  <c r="B147" i="10"/>
  <c r="C146" i="10"/>
  <c r="B146" i="10"/>
  <c r="C145" i="10"/>
  <c r="B145" i="10"/>
  <c r="C144" i="10"/>
  <c r="B144" i="10"/>
  <c r="C143" i="10"/>
  <c r="B143" i="10"/>
  <c r="C142" i="10"/>
  <c r="B142" i="10"/>
  <c r="C141" i="10"/>
  <c r="B141" i="10"/>
  <c r="C140" i="10"/>
  <c r="B140" i="10"/>
  <c r="C139" i="10"/>
  <c r="B139" i="10"/>
  <c r="C138" i="10"/>
  <c r="B138" i="10"/>
  <c r="C137" i="10"/>
  <c r="B137" i="10"/>
  <c r="C136" i="10"/>
  <c r="B136" i="10"/>
  <c r="C135" i="10"/>
  <c r="B135" i="10"/>
  <c r="C134" i="10"/>
  <c r="B134" i="10"/>
  <c r="C133" i="10"/>
  <c r="B133" i="10"/>
  <c r="C132" i="10"/>
  <c r="B132" i="10"/>
  <c r="C131" i="10"/>
  <c r="B131" i="10"/>
  <c r="C130" i="10"/>
  <c r="B130" i="10"/>
  <c r="C129" i="10"/>
  <c r="B129" i="10"/>
  <c r="C128" i="10"/>
  <c r="B128" i="10"/>
  <c r="C127" i="10"/>
  <c r="B127" i="10"/>
  <c r="C126" i="10"/>
  <c r="B126" i="10"/>
  <c r="C125" i="10"/>
  <c r="B125" i="10"/>
  <c r="C124" i="10"/>
  <c r="B124" i="10"/>
  <c r="C123" i="10"/>
  <c r="B123" i="10"/>
  <c r="C122" i="10"/>
  <c r="B122" i="10"/>
  <c r="C121" i="10"/>
  <c r="B121" i="10"/>
  <c r="C120" i="10"/>
  <c r="B120" i="10"/>
  <c r="C119" i="10"/>
  <c r="B119" i="10"/>
  <c r="C118" i="10"/>
  <c r="B118" i="10"/>
  <c r="C117" i="10"/>
  <c r="B117" i="10"/>
  <c r="C116" i="10"/>
  <c r="B116" i="10"/>
  <c r="C115" i="10"/>
  <c r="B115" i="10"/>
  <c r="C114" i="10"/>
  <c r="B114" i="10"/>
  <c r="C113" i="10"/>
  <c r="B113" i="10"/>
  <c r="C112" i="10"/>
  <c r="B112" i="10"/>
  <c r="C111" i="10"/>
  <c r="B111" i="10"/>
  <c r="C110" i="10"/>
  <c r="B110" i="10"/>
  <c r="C109" i="10"/>
  <c r="B109" i="10"/>
  <c r="C108" i="10"/>
  <c r="B108" i="10"/>
  <c r="C107" i="10"/>
  <c r="B107" i="10"/>
  <c r="C106" i="10"/>
  <c r="B106" i="10"/>
  <c r="C105" i="10"/>
  <c r="B105" i="10"/>
  <c r="C104" i="10"/>
  <c r="B104" i="10" s="1"/>
  <c r="C103" i="10"/>
  <c r="B103" i="10" s="1"/>
  <c r="C102" i="10"/>
  <c r="B102" i="10"/>
  <c r="C101" i="10"/>
  <c r="B101" i="10"/>
  <c r="C100" i="10"/>
  <c r="B100" i="10" s="1"/>
  <c r="C99" i="10"/>
  <c r="B99" i="10" s="1"/>
  <c r="C98" i="10"/>
  <c r="B98" i="10" s="1"/>
  <c r="C97" i="10"/>
  <c r="B97" i="10"/>
  <c r="C96" i="10"/>
  <c r="B96" i="10"/>
  <c r="C95" i="10"/>
  <c r="B95" i="10"/>
  <c r="C94" i="10"/>
  <c r="B94" i="10" s="1"/>
  <c r="C93" i="10"/>
  <c r="B93" i="10" s="1"/>
  <c r="C92" i="10"/>
  <c r="B92" i="10"/>
  <c r="C91" i="10"/>
  <c r="B91" i="10"/>
  <c r="C90" i="10"/>
  <c r="B90" i="10"/>
  <c r="C89" i="10"/>
  <c r="B89" i="10"/>
  <c r="C88" i="10"/>
  <c r="B88" i="10"/>
  <c r="C87" i="10"/>
  <c r="B87" i="10" s="1"/>
  <c r="C86" i="10"/>
  <c r="B86" i="10" s="1"/>
  <c r="C85" i="10"/>
  <c r="B85" i="10" s="1"/>
  <c r="C84" i="10"/>
  <c r="B84" i="10" s="1"/>
  <c r="C83" i="10"/>
  <c r="B83" i="10" s="1"/>
  <c r="C82" i="10"/>
  <c r="B82" i="10" s="1"/>
  <c r="C81" i="10"/>
  <c r="B81" i="10"/>
  <c r="C80" i="10"/>
  <c r="B80" i="10"/>
  <c r="C79" i="10"/>
  <c r="B79" i="10" s="1"/>
  <c r="C78" i="10"/>
  <c r="B78" i="10" s="1"/>
  <c r="C77" i="10"/>
  <c r="B77" i="10"/>
  <c r="C76" i="10"/>
  <c r="B76" i="10"/>
  <c r="C75" i="10"/>
  <c r="B75" i="10"/>
  <c r="C74" i="10"/>
  <c r="B74" i="10"/>
  <c r="C73" i="10"/>
  <c r="B73" i="10"/>
  <c r="C72" i="10"/>
  <c r="B72" i="10" s="1"/>
  <c r="C71" i="10"/>
  <c r="B71" i="10" s="1"/>
  <c r="C70" i="10"/>
  <c r="B70" i="10" s="1"/>
  <c r="C69" i="10"/>
  <c r="B69" i="10" s="1"/>
  <c r="C68" i="10"/>
  <c r="B68" i="10"/>
  <c r="C67" i="10"/>
  <c r="B67" i="10"/>
  <c r="C66" i="10"/>
  <c r="B66" i="10"/>
  <c r="C65" i="10"/>
  <c r="B65" i="10" s="1"/>
  <c r="C64" i="10"/>
  <c r="B64" i="10" s="1"/>
  <c r="C63" i="10"/>
  <c r="B63" i="10" s="1"/>
  <c r="C62" i="10"/>
  <c r="B62" i="10"/>
  <c r="C61" i="10"/>
  <c r="B61" i="10"/>
  <c r="C60" i="10"/>
  <c r="B60" i="10" s="1"/>
  <c r="C59" i="10"/>
  <c r="B59" i="10" s="1"/>
  <c r="C58" i="10"/>
  <c r="B58" i="10" s="1"/>
  <c r="C57" i="10"/>
  <c r="B57" i="10" s="1"/>
  <c r="C56" i="10"/>
  <c r="B56" i="10"/>
  <c r="C55" i="10"/>
  <c r="B55" i="10"/>
  <c r="C54" i="10"/>
  <c r="B54" i="10"/>
  <c r="C53" i="10"/>
  <c r="B53" i="10"/>
  <c r="C52" i="10"/>
  <c r="B52" i="10"/>
  <c r="C51" i="10"/>
  <c r="B51" i="10" s="1"/>
  <c r="C50" i="10"/>
  <c r="B50" i="10" s="1"/>
  <c r="C49" i="10"/>
  <c r="B49" i="10" s="1"/>
  <c r="C48" i="10"/>
  <c r="B48" i="10"/>
  <c r="C47" i="10"/>
  <c r="B47" i="10"/>
  <c r="C46" i="10"/>
  <c r="B46" i="10" s="1"/>
  <c r="C45" i="10"/>
  <c r="B45" i="10"/>
  <c r="C44" i="10"/>
  <c r="B44" i="10" s="1"/>
  <c r="C43" i="10"/>
  <c r="B43" i="10" s="1"/>
  <c r="C42" i="10"/>
  <c r="B42" i="10" s="1"/>
  <c r="C41" i="10"/>
  <c r="B41" i="10" s="1"/>
  <c r="C40" i="10"/>
  <c r="B40" i="10" s="1"/>
  <c r="C39" i="10"/>
  <c r="B39" i="10" s="1"/>
  <c r="C38" i="10"/>
  <c r="B38" i="10" s="1"/>
  <c r="C37" i="10"/>
  <c r="B37" i="10" s="1"/>
  <c r="C36" i="10"/>
  <c r="B36" i="10" s="1"/>
  <c r="C35" i="10"/>
  <c r="B35" i="10" s="1"/>
  <c r="C34" i="10"/>
  <c r="B34" i="10" s="1"/>
  <c r="C33" i="10"/>
  <c r="B33" i="10" s="1"/>
  <c r="C32" i="10"/>
  <c r="B32" i="10" s="1"/>
  <c r="C31" i="10"/>
  <c r="B31" i="10" s="1"/>
  <c r="C30" i="10"/>
  <c r="B30" i="10" s="1"/>
  <c r="C29" i="10"/>
  <c r="B29" i="10" s="1"/>
  <c r="C28" i="10"/>
  <c r="B28" i="10" s="1"/>
  <c r="C27" i="10"/>
  <c r="B27" i="10" s="1"/>
  <c r="C26" i="10"/>
  <c r="B26" i="10" s="1"/>
  <c r="C25" i="10"/>
  <c r="B25" i="10" s="1"/>
  <c r="C24" i="10"/>
  <c r="B24" i="10" s="1"/>
  <c r="C23" i="10"/>
  <c r="B23" i="10" s="1"/>
  <c r="C22" i="10"/>
  <c r="B22" i="10" s="1"/>
  <c r="C21" i="10"/>
  <c r="B21" i="10" s="1"/>
  <c r="C20" i="10"/>
  <c r="B20" i="10" s="1"/>
  <c r="C19" i="10"/>
  <c r="B19" i="10" s="1"/>
  <c r="C18" i="10"/>
  <c r="B18" i="10" s="1"/>
  <c r="C17" i="10"/>
  <c r="B17" i="10" s="1"/>
  <c r="C16" i="10"/>
  <c r="B16" i="10" s="1"/>
  <c r="C15" i="10"/>
  <c r="B15" i="10" s="1"/>
  <c r="C14" i="10"/>
  <c r="B14" i="10" s="1"/>
  <c r="C13" i="10"/>
  <c r="B13" i="10" s="1"/>
  <c r="C12" i="10"/>
  <c r="B12" i="10" s="1"/>
  <c r="C11" i="10"/>
  <c r="B11" i="10" s="1"/>
  <c r="C10" i="10"/>
  <c r="B10" i="10" s="1"/>
  <c r="C9" i="10"/>
  <c r="B9" i="10"/>
  <c r="C8" i="10"/>
  <c r="B8" i="10"/>
  <c r="BN5" i="10"/>
  <c r="BM5" i="10"/>
  <c r="BL5" i="10"/>
  <c r="BK5" i="10"/>
  <c r="BJ5" i="10"/>
  <c r="BI5" i="10"/>
  <c r="BH5" i="10"/>
  <c r="BG5" i="10"/>
  <c r="BF5" i="10"/>
  <c r="BE5" i="10"/>
  <c r="BD5" i="10"/>
  <c r="BC5" i="10"/>
  <c r="BB5" i="10"/>
  <c r="BA5" i="10"/>
  <c r="AZ5" i="10"/>
  <c r="AY5" i="10"/>
  <c r="AX5" i="10"/>
  <c r="AW5" i="10"/>
  <c r="AV5" i="10"/>
  <c r="AU5" i="10"/>
  <c r="AT5" i="10"/>
  <c r="AS5" i="10"/>
  <c r="AR5" i="10"/>
  <c r="AQ5" i="10"/>
  <c r="AP5" i="10"/>
  <c r="AO5" i="10"/>
  <c r="AN5" i="10"/>
  <c r="AM5" i="10"/>
  <c r="AL5" i="10"/>
  <c r="AK5" i="10"/>
  <c r="AJ5" i="10"/>
  <c r="AI5" i="10"/>
  <c r="AH5" i="10"/>
  <c r="AG5" i="10"/>
  <c r="AF5" i="10"/>
  <c r="AE5" i="10"/>
  <c r="AD5" i="10"/>
  <c r="AC5" i="10"/>
  <c r="AB5" i="10"/>
  <c r="AA5" i="10"/>
  <c r="Z5" i="10"/>
  <c r="Y5" i="10"/>
  <c r="X5" i="10"/>
  <c r="W5" i="10"/>
  <c r="V5" i="10"/>
  <c r="U5" i="10"/>
  <c r="T5" i="10"/>
  <c r="S5" i="10"/>
  <c r="R5" i="10"/>
  <c r="Q5" i="10"/>
  <c r="P5" i="10"/>
  <c r="O5" i="10"/>
  <c r="N5" i="10"/>
  <c r="M5" i="10"/>
  <c r="L5" i="10"/>
  <c r="K5" i="10"/>
  <c r="J5" i="10"/>
  <c r="I5" i="10"/>
  <c r="H5" i="10"/>
  <c r="G5" i="10"/>
  <c r="F5" i="10"/>
  <c r="E5" i="10"/>
  <c r="D5" i="10"/>
  <c r="D102" i="9"/>
  <c r="E102" i="9" s="1"/>
  <c r="D77" i="9"/>
  <c r="D69" i="9"/>
  <c r="D44" i="9"/>
  <c r="D36" i="9"/>
  <c r="D11" i="9"/>
  <c r="C187" i="8"/>
  <c r="B187" i="8" s="1"/>
  <c r="C186" i="8"/>
  <c r="B186" i="8"/>
  <c r="C185" i="8"/>
  <c r="B185" i="8"/>
  <c r="C184" i="8"/>
  <c r="B184" i="8"/>
  <c r="C183" i="8"/>
  <c r="B183" i="8"/>
  <c r="C182" i="8"/>
  <c r="B182" i="8"/>
  <c r="C181" i="8"/>
  <c r="B181" i="8"/>
  <c r="C180" i="8"/>
  <c r="B180" i="8"/>
  <c r="C179" i="8"/>
  <c r="B179" i="8"/>
  <c r="C178" i="8"/>
  <c r="B178" i="8"/>
  <c r="C177" i="8"/>
  <c r="B177" i="8"/>
  <c r="C176" i="8"/>
  <c r="B176" i="8"/>
  <c r="C175" i="8"/>
  <c r="B175" i="8"/>
  <c r="C174" i="8"/>
  <c r="B174" i="8"/>
  <c r="C173" i="8"/>
  <c r="B173" i="8"/>
  <c r="C172" i="8"/>
  <c r="B172" i="8"/>
  <c r="C171" i="8"/>
  <c r="B171" i="8"/>
  <c r="C170" i="8"/>
  <c r="B170" i="8"/>
  <c r="C169" i="8"/>
  <c r="B169" i="8"/>
  <c r="C168" i="8"/>
  <c r="B168" i="8"/>
  <c r="C167" i="8"/>
  <c r="B167" i="8"/>
  <c r="C166" i="8"/>
  <c r="B166" i="8"/>
  <c r="C165" i="8"/>
  <c r="B165" i="8"/>
  <c r="C164" i="8"/>
  <c r="B164" i="8"/>
  <c r="C163" i="8"/>
  <c r="B163" i="8"/>
  <c r="C162" i="8"/>
  <c r="B162" i="8"/>
  <c r="C161" i="8"/>
  <c r="B161" i="8"/>
  <c r="C160" i="8"/>
  <c r="B160" i="8"/>
  <c r="C159" i="8"/>
  <c r="B159" i="8"/>
  <c r="C158" i="8"/>
  <c r="B158" i="8"/>
  <c r="C157" i="8"/>
  <c r="B157" i="8"/>
  <c r="C156" i="8"/>
  <c r="B156" i="8"/>
  <c r="C155" i="8"/>
  <c r="B155" i="8"/>
  <c r="C154" i="8"/>
  <c r="B154" i="8"/>
  <c r="C153" i="8"/>
  <c r="B153" i="8"/>
  <c r="C152" i="8"/>
  <c r="B152" i="8"/>
  <c r="C151" i="8"/>
  <c r="B151" i="8"/>
  <c r="C150" i="8"/>
  <c r="B150" i="8"/>
  <c r="C149" i="8"/>
  <c r="B149" i="8"/>
  <c r="C148" i="8"/>
  <c r="B148" i="8"/>
  <c r="C147" i="8"/>
  <c r="B147" i="8"/>
  <c r="C146" i="8"/>
  <c r="B146" i="8"/>
  <c r="C145" i="8"/>
  <c r="B145" i="8"/>
  <c r="C144" i="8"/>
  <c r="B144" i="8"/>
  <c r="C143" i="8"/>
  <c r="B143" i="8"/>
  <c r="C142" i="8"/>
  <c r="B142" i="8"/>
  <c r="C141" i="8"/>
  <c r="B141" i="8"/>
  <c r="C140" i="8"/>
  <c r="B140" i="8"/>
  <c r="C139" i="8"/>
  <c r="B139" i="8"/>
  <c r="C138" i="8"/>
  <c r="B138" i="8"/>
  <c r="C137" i="8"/>
  <c r="B137" i="8"/>
  <c r="C136" i="8"/>
  <c r="B136" i="8"/>
  <c r="C135" i="8"/>
  <c r="B135" i="8"/>
  <c r="C134" i="8"/>
  <c r="B134" i="8"/>
  <c r="C133" i="8"/>
  <c r="B133" i="8"/>
  <c r="C132" i="8"/>
  <c r="B132" i="8"/>
  <c r="C131" i="8"/>
  <c r="B131" i="8"/>
  <c r="C130" i="8"/>
  <c r="B130" i="8"/>
  <c r="C129" i="8"/>
  <c r="B129" i="8"/>
  <c r="C128" i="8"/>
  <c r="B128" i="8"/>
  <c r="C127" i="8"/>
  <c r="B127" i="8"/>
  <c r="C126" i="8"/>
  <c r="B126" i="8"/>
  <c r="C125" i="8"/>
  <c r="B125" i="8"/>
  <c r="C124" i="8"/>
  <c r="B124" i="8"/>
  <c r="C123" i="8"/>
  <c r="B123" i="8"/>
  <c r="C122" i="8"/>
  <c r="B122" i="8"/>
  <c r="C121" i="8"/>
  <c r="B121" i="8"/>
  <c r="C120" i="8"/>
  <c r="B120" i="8"/>
  <c r="C119" i="8"/>
  <c r="B119" i="8"/>
  <c r="C118" i="8"/>
  <c r="B118" i="8"/>
  <c r="C117" i="8"/>
  <c r="B117" i="8"/>
  <c r="C116" i="8"/>
  <c r="B116" i="8"/>
  <c r="C115" i="8"/>
  <c r="B115" i="8"/>
  <c r="C114" i="8"/>
  <c r="B114" i="8"/>
  <c r="C113" i="8"/>
  <c r="B113" i="8"/>
  <c r="C112" i="8"/>
  <c r="B112" i="8"/>
  <c r="C111" i="8"/>
  <c r="B111" i="8" s="1"/>
  <c r="C110" i="8"/>
  <c r="B110" i="8" s="1"/>
  <c r="C109" i="8"/>
  <c r="B109" i="8" s="1"/>
  <c r="C108" i="8"/>
  <c r="B108" i="8" s="1"/>
  <c r="C107" i="8"/>
  <c r="B107" i="8"/>
  <c r="C106" i="8"/>
  <c r="B106" i="8"/>
  <c r="C105" i="8"/>
  <c r="B105" i="8"/>
  <c r="C104" i="8"/>
  <c r="B104" i="8"/>
  <c r="C103" i="8"/>
  <c r="B103" i="8"/>
  <c r="C102" i="8"/>
  <c r="B102" i="8"/>
  <c r="C101" i="8"/>
  <c r="B101" i="8"/>
  <c r="C100" i="8"/>
  <c r="B100" i="8"/>
  <c r="C99" i="8"/>
  <c r="B99" i="8"/>
  <c r="C98" i="8"/>
  <c r="B98" i="8"/>
  <c r="C97" i="8"/>
  <c r="B97" i="8"/>
  <c r="C96" i="8"/>
  <c r="B96" i="8"/>
  <c r="C95" i="8"/>
  <c r="B95" i="8"/>
  <c r="C94" i="8"/>
  <c r="B94" i="8"/>
  <c r="C93" i="8"/>
  <c r="B93" i="8"/>
  <c r="C92" i="8"/>
  <c r="B92" i="8"/>
  <c r="C91" i="8"/>
  <c r="B91" i="8"/>
  <c r="C90" i="8"/>
  <c r="B90" i="8"/>
  <c r="C89" i="8"/>
  <c r="B89" i="8"/>
  <c r="C88" i="8"/>
  <c r="B88" i="8" s="1"/>
  <c r="C87" i="8"/>
  <c r="B87" i="8" s="1"/>
  <c r="C86" i="8"/>
  <c r="B86" i="8" s="1"/>
  <c r="C85" i="8"/>
  <c r="B85" i="8" s="1"/>
  <c r="C84" i="8"/>
  <c r="B84" i="8" s="1"/>
  <c r="C83" i="8"/>
  <c r="B83" i="8" s="1"/>
  <c r="C82" i="8"/>
  <c r="B82" i="8" s="1"/>
  <c r="C81" i="8"/>
  <c r="B81" i="8" s="1"/>
  <c r="C80" i="8"/>
  <c r="B80" i="8" s="1"/>
  <c r="C79" i="8"/>
  <c r="B79" i="8" s="1"/>
  <c r="C78" i="8"/>
  <c r="B78" i="8" s="1"/>
  <c r="C77" i="8"/>
  <c r="B77" i="8" s="1"/>
  <c r="C76" i="8"/>
  <c r="B76" i="8" s="1"/>
  <c r="C75" i="8"/>
  <c r="B75" i="8" s="1"/>
  <c r="C74" i="8"/>
  <c r="B74" i="8" s="1"/>
  <c r="C73" i="8"/>
  <c r="B73" i="8" s="1"/>
  <c r="C72" i="8"/>
  <c r="B72" i="8"/>
  <c r="C71" i="8"/>
  <c r="B71" i="8" s="1"/>
  <c r="C70" i="8"/>
  <c r="B70" i="8" s="1"/>
  <c r="C69" i="8"/>
  <c r="B69" i="8" s="1"/>
  <c r="C68" i="8"/>
  <c r="B68" i="8" s="1"/>
  <c r="C67" i="8"/>
  <c r="B67" i="8" s="1"/>
  <c r="C66" i="8"/>
  <c r="B66" i="8" s="1"/>
  <c r="C65" i="8"/>
  <c r="B65" i="8" s="1"/>
  <c r="C64" i="8"/>
  <c r="B64" i="8" s="1"/>
  <c r="C63" i="8"/>
  <c r="B63" i="8" s="1"/>
  <c r="C62" i="8"/>
  <c r="B62" i="8" s="1"/>
  <c r="C61" i="8"/>
  <c r="B61" i="8" s="1"/>
  <c r="C60" i="8"/>
  <c r="B60" i="8" s="1"/>
  <c r="C59" i="8"/>
  <c r="B59" i="8" s="1"/>
  <c r="C58" i="8"/>
  <c r="B58" i="8" s="1"/>
  <c r="C57" i="8"/>
  <c r="B57" i="8" s="1"/>
  <c r="C56" i="8"/>
  <c r="B56" i="8" s="1"/>
  <c r="C55" i="8"/>
  <c r="B55" i="8" s="1"/>
  <c r="C54" i="8"/>
  <c r="B54" i="8" s="1"/>
  <c r="C53" i="8"/>
  <c r="B53" i="8" s="1"/>
  <c r="C52" i="8"/>
  <c r="B52" i="8" s="1"/>
  <c r="C51" i="8"/>
  <c r="B51" i="8" s="1"/>
  <c r="C50" i="8"/>
  <c r="B50" i="8" s="1"/>
  <c r="C49" i="8"/>
  <c r="B49" i="8" s="1"/>
  <c r="C48" i="8"/>
  <c r="B48" i="8" s="1"/>
  <c r="C47" i="8"/>
  <c r="B47" i="8"/>
  <c r="C46" i="8"/>
  <c r="B46" i="8"/>
  <c r="C45" i="8"/>
  <c r="B45" i="8"/>
  <c r="C44" i="8"/>
  <c r="B44" i="8"/>
  <c r="C43" i="8"/>
  <c r="B43" i="8"/>
  <c r="C42" i="8"/>
  <c r="B42" i="8"/>
  <c r="C41" i="8"/>
  <c r="B41" i="8"/>
  <c r="C40" i="8"/>
  <c r="B40" i="8"/>
  <c r="C39" i="8"/>
  <c r="B39" i="8"/>
  <c r="C38" i="8"/>
  <c r="B38" i="8"/>
  <c r="C37" i="8"/>
  <c r="B37" i="8"/>
  <c r="C36" i="8"/>
  <c r="B36" i="8"/>
  <c r="C35" i="8"/>
  <c r="B35" i="8"/>
  <c r="C34" i="8"/>
  <c r="B34" i="8"/>
  <c r="C33" i="8"/>
  <c r="B33" i="8"/>
  <c r="C32" i="8"/>
  <c r="B32" i="8"/>
  <c r="C31" i="8"/>
  <c r="B31" i="8"/>
  <c r="C30" i="8"/>
  <c r="B30" i="8"/>
  <c r="C29" i="8"/>
  <c r="B29" i="8"/>
  <c r="C28" i="8"/>
  <c r="B28" i="8"/>
  <c r="C27" i="8"/>
  <c r="B27" i="8"/>
  <c r="C26" i="8"/>
  <c r="B26" i="8" s="1"/>
  <c r="C25" i="8"/>
  <c r="B25" i="8" s="1"/>
  <c r="C24" i="8"/>
  <c r="B24" i="8" s="1"/>
  <c r="C23" i="8"/>
  <c r="B23" i="8" s="1"/>
  <c r="C22" i="8"/>
  <c r="B22" i="8" s="1"/>
  <c r="C21" i="8"/>
  <c r="B21" i="8" s="1"/>
  <c r="C20" i="8"/>
  <c r="B20" i="8" s="1"/>
  <c r="C19" i="8"/>
  <c r="B19" i="8" s="1"/>
  <c r="C18" i="8"/>
  <c r="B18" i="8" s="1"/>
  <c r="C17" i="8"/>
  <c r="B17" i="8" s="1"/>
  <c r="C16" i="8"/>
  <c r="B16" i="8" s="1"/>
  <c r="C15" i="8"/>
  <c r="B15" i="8" s="1"/>
  <c r="C14" i="8"/>
  <c r="B14" i="8" s="1"/>
  <c r="C13" i="8"/>
  <c r="B13" i="8" s="1"/>
  <c r="C12" i="8"/>
  <c r="B12" i="8" s="1"/>
  <c r="C11" i="8"/>
  <c r="B11" i="8" s="1"/>
  <c r="C10" i="8"/>
  <c r="B10" i="8" s="1"/>
  <c r="C9" i="8"/>
  <c r="B9" i="8" s="1"/>
  <c r="C8" i="8"/>
  <c r="B8" i="8" s="1"/>
  <c r="AG5" i="8"/>
  <c r="AF5" i="8"/>
  <c r="AE5" i="8"/>
  <c r="AD5" i="8"/>
  <c r="AC5" i="8"/>
  <c r="AB5" i="8"/>
  <c r="AA5" i="8"/>
  <c r="Z5" i="8"/>
  <c r="Y5" i="8"/>
  <c r="X5" i="8"/>
  <c r="W5" i="8"/>
  <c r="V5" i="8"/>
  <c r="U5" i="8"/>
  <c r="T5" i="8"/>
  <c r="S5" i="8"/>
  <c r="R5" i="8"/>
  <c r="Q5" i="8"/>
  <c r="P5" i="8"/>
  <c r="O5" i="8"/>
  <c r="N5" i="8"/>
  <c r="M5" i="8"/>
  <c r="L5" i="8"/>
  <c r="K5" i="8"/>
  <c r="J5" i="8"/>
  <c r="I5" i="8"/>
  <c r="H5" i="8"/>
  <c r="G5" i="8"/>
  <c r="F5" i="8"/>
  <c r="E5" i="8"/>
  <c r="D5" i="8"/>
  <c r="C187" i="7"/>
  <c r="B187" i="7" s="1"/>
  <c r="C186" i="7"/>
  <c r="B186" i="7" s="1"/>
  <c r="C185" i="7"/>
  <c r="B185" i="7" s="1"/>
  <c r="C184" i="7"/>
  <c r="B184" i="7" s="1"/>
  <c r="C183" i="7"/>
  <c r="B183" i="7"/>
  <c r="C182" i="7"/>
  <c r="B182" i="7"/>
  <c r="C181" i="7"/>
  <c r="B181" i="7"/>
  <c r="C180" i="7"/>
  <c r="B180" i="7"/>
  <c r="C179" i="7"/>
  <c r="B179" i="7"/>
  <c r="C178" i="7"/>
  <c r="B178" i="7"/>
  <c r="C177" i="7"/>
  <c r="B177" i="7"/>
  <c r="C176" i="7"/>
  <c r="B176" i="7"/>
  <c r="C175" i="7"/>
  <c r="B175" i="7"/>
  <c r="C174" i="7"/>
  <c r="B174" i="7"/>
  <c r="C173" i="7"/>
  <c r="B173" i="7"/>
  <c r="C172" i="7"/>
  <c r="B172" i="7"/>
  <c r="C171" i="7"/>
  <c r="B171" i="7"/>
  <c r="C170" i="7"/>
  <c r="B170" i="7"/>
  <c r="C169" i="7"/>
  <c r="B169" i="7"/>
  <c r="C168" i="7"/>
  <c r="B168" i="7"/>
  <c r="C167" i="7"/>
  <c r="B167" i="7"/>
  <c r="C166" i="7"/>
  <c r="B166" i="7"/>
  <c r="C165" i="7"/>
  <c r="B165" i="7"/>
  <c r="C164" i="7"/>
  <c r="B164" i="7"/>
  <c r="C163" i="7"/>
  <c r="B163" i="7"/>
  <c r="C162" i="7"/>
  <c r="B162" i="7"/>
  <c r="C161" i="7"/>
  <c r="B161" i="7"/>
  <c r="C160" i="7"/>
  <c r="B160" i="7"/>
  <c r="C159" i="7"/>
  <c r="B159" i="7"/>
  <c r="C158" i="7"/>
  <c r="B158" i="7"/>
  <c r="C157" i="7"/>
  <c r="B157" i="7"/>
  <c r="C156" i="7"/>
  <c r="B156" i="7"/>
  <c r="C155" i="7"/>
  <c r="B155" i="7"/>
  <c r="C154" i="7"/>
  <c r="B154" i="7"/>
  <c r="C153" i="7"/>
  <c r="B153" i="7"/>
  <c r="C152" i="7"/>
  <c r="B152" i="7"/>
  <c r="C151" i="7"/>
  <c r="B151" i="7"/>
  <c r="C150" i="7"/>
  <c r="B150" i="7"/>
  <c r="C149" i="7"/>
  <c r="B149" i="7"/>
  <c r="C148" i="7"/>
  <c r="B148" i="7"/>
  <c r="C147" i="7"/>
  <c r="B147" i="7"/>
  <c r="C146" i="7"/>
  <c r="B146" i="7"/>
  <c r="C145" i="7"/>
  <c r="B145" i="7"/>
  <c r="C144" i="7"/>
  <c r="B144" i="7"/>
  <c r="C143" i="7"/>
  <c r="B143" i="7"/>
  <c r="C142" i="7"/>
  <c r="B142" i="7"/>
  <c r="C141" i="7"/>
  <c r="B141" i="7"/>
  <c r="C140" i="7"/>
  <c r="B140" i="7"/>
  <c r="C139" i="7"/>
  <c r="B139" i="7"/>
  <c r="C138" i="7"/>
  <c r="B138" i="7"/>
  <c r="C137" i="7"/>
  <c r="B137" i="7"/>
  <c r="C136" i="7"/>
  <c r="B136" i="7"/>
  <c r="C135" i="7"/>
  <c r="B135" i="7"/>
  <c r="C134" i="7"/>
  <c r="B134" i="7"/>
  <c r="C133" i="7"/>
  <c r="B133" i="7"/>
  <c r="C132" i="7"/>
  <c r="B132" i="7"/>
  <c r="C131" i="7"/>
  <c r="B131" i="7"/>
  <c r="C130" i="7"/>
  <c r="B130" i="7"/>
  <c r="C129" i="7"/>
  <c r="B129" i="7"/>
  <c r="C128" i="7"/>
  <c r="B128" i="7"/>
  <c r="C127" i="7"/>
  <c r="B127" i="7"/>
  <c r="C126" i="7"/>
  <c r="B126" i="7"/>
  <c r="C125" i="7"/>
  <c r="B125" i="7"/>
  <c r="C124" i="7"/>
  <c r="B124" i="7"/>
  <c r="C123" i="7"/>
  <c r="B123" i="7"/>
  <c r="C122" i="7"/>
  <c r="B122" i="7"/>
  <c r="C121" i="7"/>
  <c r="B121" i="7"/>
  <c r="C120" i="7"/>
  <c r="B120" i="7"/>
  <c r="C119" i="7"/>
  <c r="B119" i="7"/>
  <c r="C118" i="7"/>
  <c r="B118" i="7"/>
  <c r="C117" i="7"/>
  <c r="B117" i="7"/>
  <c r="C116" i="7"/>
  <c r="B116" i="7"/>
  <c r="C115" i="7"/>
  <c r="B115" i="7"/>
  <c r="C114" i="7"/>
  <c r="B114" i="7"/>
  <c r="C113" i="7"/>
  <c r="B113" i="7" s="1"/>
  <c r="C112" i="7"/>
  <c r="B112" i="7" s="1"/>
  <c r="C111" i="7"/>
  <c r="B111" i="7"/>
  <c r="C110" i="7"/>
  <c r="B110" i="7"/>
  <c r="C109" i="7"/>
  <c r="B109" i="7"/>
  <c r="C108" i="7"/>
  <c r="B108" i="7"/>
  <c r="C107" i="7"/>
  <c r="B107" i="7"/>
  <c r="C106" i="7"/>
  <c r="B106" i="7"/>
  <c r="C105" i="7"/>
  <c r="B105" i="7"/>
  <c r="C104" i="7"/>
  <c r="B104" i="7"/>
  <c r="C103" i="7"/>
  <c r="B103" i="7"/>
  <c r="C102" i="7"/>
  <c r="B102" i="7"/>
  <c r="C101" i="7"/>
  <c r="B101" i="7"/>
  <c r="C100" i="7"/>
  <c r="B100" i="7"/>
  <c r="C99" i="7"/>
  <c r="B99" i="7"/>
  <c r="C98" i="7"/>
  <c r="B98" i="7"/>
  <c r="C97" i="7"/>
  <c r="B97" i="7" s="1"/>
  <c r="C96" i="7"/>
  <c r="B96" i="7" s="1"/>
  <c r="C95" i="7"/>
  <c r="B95" i="7" s="1"/>
  <c r="C94" i="7"/>
  <c r="B94" i="7" s="1"/>
  <c r="C93" i="7"/>
  <c r="B93" i="7" s="1"/>
  <c r="C92" i="7"/>
  <c r="B92" i="7" s="1"/>
  <c r="C91" i="7"/>
  <c r="B91" i="7" s="1"/>
  <c r="C90" i="7"/>
  <c r="B90" i="7" s="1"/>
  <c r="C89" i="7"/>
  <c r="B89" i="7" s="1"/>
  <c r="C88" i="7"/>
  <c r="B88" i="7" s="1"/>
  <c r="C87" i="7"/>
  <c r="B87" i="7" s="1"/>
  <c r="C86" i="7"/>
  <c r="B86" i="7" s="1"/>
  <c r="C85" i="7"/>
  <c r="B85" i="7" s="1"/>
  <c r="C84" i="7"/>
  <c r="B84" i="7" s="1"/>
  <c r="C83" i="7"/>
  <c r="B83" i="7" s="1"/>
  <c r="C82" i="7"/>
  <c r="B82" i="7" s="1"/>
  <c r="C81" i="7"/>
  <c r="B81" i="7" s="1"/>
  <c r="C80" i="7"/>
  <c r="B80" i="7" s="1"/>
  <c r="C79" i="7"/>
  <c r="B79" i="7" s="1"/>
  <c r="C78" i="7"/>
  <c r="B78" i="7" s="1"/>
  <c r="C77" i="7"/>
  <c r="B77" i="7" s="1"/>
  <c r="C76" i="7"/>
  <c r="B76" i="7"/>
  <c r="C75" i="7"/>
  <c r="B75" i="7"/>
  <c r="C74" i="7"/>
  <c r="B74" i="7"/>
  <c r="C73" i="7"/>
  <c r="B73" i="7"/>
  <c r="C72" i="7"/>
  <c r="B72" i="7"/>
  <c r="C71" i="7"/>
  <c r="B71" i="7"/>
  <c r="C70" i="7"/>
  <c r="B70" i="7"/>
  <c r="C69" i="7"/>
  <c r="B69" i="7"/>
  <c r="C68" i="7"/>
  <c r="B68" i="7"/>
  <c r="C67" i="7"/>
  <c r="B67" i="7"/>
  <c r="C66" i="7"/>
  <c r="B66" i="7"/>
  <c r="C65" i="7"/>
  <c r="B65" i="7"/>
  <c r="C64" i="7"/>
  <c r="B64" i="7"/>
  <c r="C63" i="7"/>
  <c r="B63" i="7"/>
  <c r="C62" i="7"/>
  <c r="B62" i="7"/>
  <c r="C61" i="7"/>
  <c r="B61" i="7"/>
  <c r="C60" i="7"/>
  <c r="B60" i="7"/>
  <c r="C59" i="7"/>
  <c r="B59" i="7"/>
  <c r="C58" i="7"/>
  <c r="B58" i="7"/>
  <c r="C57" i="7"/>
  <c r="B57" i="7"/>
  <c r="C56" i="7"/>
  <c r="B56" i="7"/>
  <c r="C55" i="7"/>
  <c r="B55" i="7"/>
  <c r="C54" i="7"/>
  <c r="B54" i="7"/>
  <c r="C53" i="7"/>
  <c r="B53" i="7"/>
  <c r="C52" i="7"/>
  <c r="B52" i="7"/>
  <c r="C51" i="7"/>
  <c r="B51" i="7"/>
  <c r="C50" i="7"/>
  <c r="B50" i="7"/>
  <c r="C49" i="7"/>
  <c r="B49" i="7"/>
  <c r="C48" i="7"/>
  <c r="B48" i="7"/>
  <c r="C47" i="7"/>
  <c r="B47" i="7"/>
  <c r="C46" i="7"/>
  <c r="B46" i="7"/>
  <c r="C45" i="7"/>
  <c r="B45" i="7"/>
  <c r="C44" i="7"/>
  <c r="B44" i="7"/>
  <c r="C43" i="7"/>
  <c r="B43" i="7"/>
  <c r="C42" i="7"/>
  <c r="B42" i="7"/>
  <c r="C41" i="7"/>
  <c r="B41" i="7"/>
  <c r="C40" i="7"/>
  <c r="B40" i="7"/>
  <c r="C39" i="7"/>
  <c r="B39" i="7"/>
  <c r="C38" i="7"/>
  <c r="B38" i="7"/>
  <c r="C37" i="7"/>
  <c r="B37" i="7"/>
  <c r="C36" i="7"/>
  <c r="B36" i="7"/>
  <c r="C35" i="7"/>
  <c r="B35" i="7"/>
  <c r="C34" i="7"/>
  <c r="B34" i="7"/>
  <c r="C33" i="7"/>
  <c r="B33" i="7"/>
  <c r="C32" i="7"/>
  <c r="B32" i="7"/>
  <c r="C31" i="7"/>
  <c r="B31" i="7"/>
  <c r="C30" i="7"/>
  <c r="B30" i="7"/>
  <c r="C29" i="7"/>
  <c r="B29" i="7"/>
  <c r="C28" i="7"/>
  <c r="B28" i="7"/>
  <c r="C27" i="7"/>
  <c r="B27" i="7"/>
  <c r="C26" i="7"/>
  <c r="B26" i="7"/>
  <c r="C25" i="7"/>
  <c r="B25" i="7"/>
  <c r="C24" i="7"/>
  <c r="B24" i="7"/>
  <c r="C23" i="7"/>
  <c r="B23" i="7"/>
  <c r="C22" i="7"/>
  <c r="B22" i="7"/>
  <c r="C21" i="7"/>
  <c r="B21" i="7"/>
  <c r="C20" i="7"/>
  <c r="B20" i="7"/>
  <c r="C19" i="7"/>
  <c r="B19" i="7"/>
  <c r="C18" i="7"/>
  <c r="B18" i="7"/>
  <c r="C17" i="7"/>
  <c r="B17" i="7"/>
  <c r="C16" i="7"/>
  <c r="B16" i="7"/>
  <c r="C15" i="7"/>
  <c r="B15" i="7"/>
  <c r="C14" i="7"/>
  <c r="B14" i="7"/>
  <c r="C13" i="7"/>
  <c r="B13" i="7"/>
  <c r="C12" i="7"/>
  <c r="B12" i="7"/>
  <c r="C11" i="7"/>
  <c r="B11" i="7"/>
  <c r="C10" i="7"/>
  <c r="B10" i="7"/>
  <c r="C9" i="7"/>
  <c r="B9" i="7"/>
  <c r="C8" i="7"/>
  <c r="B8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BA5" i="7"/>
  <c r="AZ5" i="7"/>
  <c r="AY5" i="7"/>
  <c r="AX5" i="7"/>
  <c r="AW5" i="7"/>
  <c r="AV5" i="7"/>
  <c r="AU5" i="7"/>
  <c r="AT5" i="7"/>
  <c r="AS5" i="7"/>
  <c r="AR5" i="7"/>
  <c r="AQ5" i="7"/>
  <c r="AP5" i="7"/>
  <c r="AO5" i="7"/>
  <c r="AN5" i="7"/>
  <c r="AM5" i="7"/>
  <c r="AL5" i="7"/>
  <c r="AK5" i="7"/>
  <c r="AJ5" i="7"/>
  <c r="AI5" i="7"/>
  <c r="AH5" i="7"/>
  <c r="AG5" i="7"/>
  <c r="AF5" i="7"/>
  <c r="AE5" i="7"/>
  <c r="AD5" i="7"/>
  <c r="AC5" i="7"/>
  <c r="AB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G5" i="7"/>
  <c r="F5" i="7"/>
  <c r="E5" i="7"/>
  <c r="D5" i="7"/>
  <c r="C187" i="6"/>
  <c r="B187" i="6"/>
  <c r="C186" i="6"/>
  <c r="B186" i="6"/>
  <c r="C185" i="6"/>
  <c r="B185" i="6"/>
  <c r="C184" i="6"/>
  <c r="B184" i="6"/>
  <c r="C183" i="6"/>
  <c r="B183" i="6"/>
  <c r="C182" i="6"/>
  <c r="B182" i="6"/>
  <c r="C181" i="6"/>
  <c r="B181" i="6"/>
  <c r="C180" i="6"/>
  <c r="B180" i="6"/>
  <c r="C179" i="6"/>
  <c r="B179" i="6"/>
  <c r="C178" i="6"/>
  <c r="B178" i="6"/>
  <c r="C177" i="6"/>
  <c r="B177" i="6" s="1"/>
  <c r="C176" i="6"/>
  <c r="B176" i="6"/>
  <c r="C175" i="6"/>
  <c r="B175" i="6"/>
  <c r="C174" i="6"/>
  <c r="B174" i="6"/>
  <c r="C173" i="6"/>
  <c r="B173" i="6"/>
  <c r="C172" i="6"/>
  <c r="B172" i="6"/>
  <c r="C171" i="6"/>
  <c r="B171" i="6"/>
  <c r="C170" i="6"/>
  <c r="B170" i="6"/>
  <c r="C169" i="6"/>
  <c r="B169" i="6"/>
  <c r="C168" i="6"/>
  <c r="B168" i="6"/>
  <c r="C167" i="6"/>
  <c r="B167" i="6"/>
  <c r="C166" i="6"/>
  <c r="B166" i="6"/>
  <c r="C165" i="6"/>
  <c r="B165" i="6"/>
  <c r="C164" i="6"/>
  <c r="B164" i="6"/>
  <c r="C163" i="6"/>
  <c r="B163" i="6"/>
  <c r="C162" i="6"/>
  <c r="B162" i="6"/>
  <c r="C161" i="6"/>
  <c r="B161" i="6"/>
  <c r="C160" i="6"/>
  <c r="B160" i="6"/>
  <c r="C159" i="6"/>
  <c r="B159" i="6"/>
  <c r="C158" i="6"/>
  <c r="B158" i="6"/>
  <c r="C157" i="6"/>
  <c r="B157" i="6"/>
  <c r="C156" i="6"/>
  <c r="B156" i="6"/>
  <c r="C155" i="6"/>
  <c r="B155" i="6"/>
  <c r="C154" i="6"/>
  <c r="B154" i="6"/>
  <c r="C153" i="6"/>
  <c r="B153" i="6"/>
  <c r="C152" i="6"/>
  <c r="B152" i="6"/>
  <c r="C151" i="6"/>
  <c r="B151" i="6"/>
  <c r="C150" i="6"/>
  <c r="B150" i="6"/>
  <c r="C149" i="6"/>
  <c r="B149" i="6"/>
  <c r="C148" i="6"/>
  <c r="B148" i="6"/>
  <c r="C147" i="6"/>
  <c r="B147" i="6"/>
  <c r="C146" i="6"/>
  <c r="B146" i="6"/>
  <c r="C145" i="6"/>
  <c r="B145" i="6"/>
  <c r="C144" i="6"/>
  <c r="B144" i="6"/>
  <c r="C143" i="6"/>
  <c r="B143" i="6"/>
  <c r="C142" i="6"/>
  <c r="B142" i="6"/>
  <c r="C141" i="6"/>
  <c r="B141" i="6"/>
  <c r="C140" i="6"/>
  <c r="B140" i="6"/>
  <c r="C139" i="6"/>
  <c r="B139" i="6"/>
  <c r="C138" i="6"/>
  <c r="B138" i="6"/>
  <c r="C137" i="6"/>
  <c r="B137" i="6"/>
  <c r="C136" i="6"/>
  <c r="B136" i="6"/>
  <c r="C135" i="6"/>
  <c r="B135" i="6"/>
  <c r="C134" i="6"/>
  <c r="B134" i="6"/>
  <c r="C133" i="6"/>
  <c r="B133" i="6"/>
  <c r="C132" i="6"/>
  <c r="B132" i="6"/>
  <c r="C131" i="6"/>
  <c r="B131" i="6"/>
  <c r="C130" i="6"/>
  <c r="B130" i="6"/>
  <c r="C129" i="6"/>
  <c r="B129" i="6"/>
  <c r="C128" i="6"/>
  <c r="B128" i="6"/>
  <c r="C127" i="6"/>
  <c r="B127" i="6"/>
  <c r="C126" i="6"/>
  <c r="B126" i="6"/>
  <c r="C125" i="6"/>
  <c r="B125" i="6"/>
  <c r="C124" i="6"/>
  <c r="B124" i="6"/>
  <c r="C123" i="6"/>
  <c r="B123" i="6"/>
  <c r="C122" i="6"/>
  <c r="B122" i="6"/>
  <c r="C121" i="6"/>
  <c r="B121" i="6"/>
  <c r="C120" i="6"/>
  <c r="B120" i="6"/>
  <c r="C119" i="6"/>
  <c r="B119" i="6"/>
  <c r="C118" i="6"/>
  <c r="B118" i="6"/>
  <c r="C117" i="6"/>
  <c r="B117" i="6"/>
  <c r="C116" i="6"/>
  <c r="B116" i="6"/>
  <c r="C115" i="6"/>
  <c r="B115" i="6"/>
  <c r="C114" i="6"/>
  <c r="B114" i="6"/>
  <c r="C113" i="6"/>
  <c r="B113" i="6"/>
  <c r="C112" i="6"/>
  <c r="B112" i="6"/>
  <c r="C111" i="6"/>
  <c r="B111" i="6"/>
  <c r="C110" i="6"/>
  <c r="B110" i="6"/>
  <c r="C109" i="6"/>
  <c r="B109" i="6"/>
  <c r="C108" i="6"/>
  <c r="B108" i="6"/>
  <c r="C107" i="6"/>
  <c r="B107" i="6"/>
  <c r="C106" i="6"/>
  <c r="B106" i="6"/>
  <c r="C105" i="6"/>
  <c r="B105" i="6"/>
  <c r="C104" i="6"/>
  <c r="B104" i="6"/>
  <c r="C103" i="6"/>
  <c r="B103" i="6"/>
  <c r="C102" i="6"/>
  <c r="B102" i="6" s="1"/>
  <c r="C101" i="6"/>
  <c r="B101" i="6"/>
  <c r="C100" i="6"/>
  <c r="B100" i="6"/>
  <c r="C99" i="6"/>
  <c r="B99" i="6"/>
  <c r="C98" i="6"/>
  <c r="B98" i="6"/>
  <c r="C97" i="6"/>
  <c r="B97" i="6" s="1"/>
  <c r="C96" i="6"/>
  <c r="B96" i="6" s="1"/>
  <c r="C95" i="6"/>
  <c r="B95" i="6"/>
  <c r="C94" i="6"/>
  <c r="B94" i="6"/>
  <c r="C93" i="6"/>
  <c r="B93" i="6"/>
  <c r="C92" i="6"/>
  <c r="B92" i="6"/>
  <c r="C91" i="6"/>
  <c r="B91" i="6"/>
  <c r="C90" i="6"/>
  <c r="B90" i="6"/>
  <c r="C89" i="6"/>
  <c r="B89" i="6"/>
  <c r="C88" i="6"/>
  <c r="B88" i="6"/>
  <c r="C87" i="6"/>
  <c r="B87" i="6"/>
  <c r="C86" i="6"/>
  <c r="B86" i="6"/>
  <c r="C85" i="6"/>
  <c r="B85" i="6"/>
  <c r="C84" i="6"/>
  <c r="B84" i="6" s="1"/>
  <c r="C83" i="6"/>
  <c r="B83" i="6" s="1"/>
  <c r="C82" i="6"/>
  <c r="B82" i="6" s="1"/>
  <c r="C81" i="6"/>
  <c r="B81" i="6" s="1"/>
  <c r="C80" i="6"/>
  <c r="B80" i="6" s="1"/>
  <c r="C79" i="6"/>
  <c r="B79" i="6"/>
  <c r="C78" i="6"/>
  <c r="B78" i="6" s="1"/>
  <c r="C77" i="6"/>
  <c r="B77" i="6"/>
  <c r="C76" i="6"/>
  <c r="B76" i="6"/>
  <c r="C75" i="6"/>
  <c r="B75" i="6" s="1"/>
  <c r="C74" i="6"/>
  <c r="B74" i="6"/>
  <c r="C73" i="6"/>
  <c r="B73" i="6" s="1"/>
  <c r="C72" i="6"/>
  <c r="B72" i="6" s="1"/>
  <c r="C71" i="6"/>
  <c r="B71" i="6" s="1"/>
  <c r="C70" i="6"/>
  <c r="B70" i="6" s="1"/>
  <c r="C69" i="6"/>
  <c r="B69" i="6" s="1"/>
  <c r="C68" i="6"/>
  <c r="B68" i="6" s="1"/>
  <c r="C67" i="6"/>
  <c r="B67" i="6" s="1"/>
  <c r="C66" i="6"/>
  <c r="B66" i="6" s="1"/>
  <c r="C65" i="6"/>
  <c r="B65" i="6" s="1"/>
  <c r="C64" i="6"/>
  <c r="B64" i="6" s="1"/>
  <c r="C63" i="6"/>
  <c r="B63" i="6" s="1"/>
  <c r="C62" i="6"/>
  <c r="B62" i="6" s="1"/>
  <c r="C61" i="6"/>
  <c r="B61" i="6" s="1"/>
  <c r="C60" i="6"/>
  <c r="B60" i="6" s="1"/>
  <c r="C59" i="6"/>
  <c r="B59" i="6" s="1"/>
  <c r="C58" i="6"/>
  <c r="B58" i="6"/>
  <c r="C57" i="6"/>
  <c r="B57" i="6"/>
  <c r="C56" i="6"/>
  <c r="B56" i="6"/>
  <c r="C55" i="6"/>
  <c r="B55" i="6"/>
  <c r="C54" i="6"/>
  <c r="B54" i="6"/>
  <c r="C53" i="6"/>
  <c r="B53" i="6"/>
  <c r="C52" i="6"/>
  <c r="B52" i="6"/>
  <c r="C51" i="6"/>
  <c r="B51" i="6"/>
  <c r="C50" i="6"/>
  <c r="B50" i="6"/>
  <c r="C49" i="6"/>
  <c r="B49" i="6"/>
  <c r="C48" i="6"/>
  <c r="B48" i="6"/>
  <c r="C47" i="6"/>
  <c r="B47" i="6"/>
  <c r="C46" i="6"/>
  <c r="B46" i="6"/>
  <c r="C45" i="6"/>
  <c r="B45" i="6"/>
  <c r="C44" i="6"/>
  <c r="B44" i="6"/>
  <c r="C43" i="6"/>
  <c r="B43" i="6"/>
  <c r="C42" i="6"/>
  <c r="B42" i="6"/>
  <c r="C41" i="6"/>
  <c r="B41" i="6"/>
  <c r="C40" i="6"/>
  <c r="B40" i="6"/>
  <c r="C39" i="6"/>
  <c r="B39" i="6"/>
  <c r="C38" i="6"/>
  <c r="B38" i="6"/>
  <c r="C37" i="6"/>
  <c r="B37" i="6"/>
  <c r="C36" i="6"/>
  <c r="B36" i="6"/>
  <c r="C35" i="6"/>
  <c r="B35" i="6"/>
  <c r="C34" i="6"/>
  <c r="B34" i="6"/>
  <c r="C33" i="6"/>
  <c r="B33" i="6"/>
  <c r="C32" i="6"/>
  <c r="B32" i="6"/>
  <c r="C31" i="6"/>
  <c r="B31" i="6"/>
  <c r="C30" i="6"/>
  <c r="B30" i="6"/>
  <c r="C29" i="6"/>
  <c r="B29" i="6"/>
  <c r="C28" i="6"/>
  <c r="B28" i="6"/>
  <c r="C27" i="6"/>
  <c r="B27" i="6"/>
  <c r="C26" i="6"/>
  <c r="B26" i="6"/>
  <c r="C25" i="6"/>
  <c r="B25" i="6"/>
  <c r="C24" i="6"/>
  <c r="B24" i="6"/>
  <c r="C23" i="6"/>
  <c r="B23" i="6"/>
  <c r="C22" i="6"/>
  <c r="B22" i="6"/>
  <c r="C21" i="6"/>
  <c r="B21" i="6"/>
  <c r="C20" i="6"/>
  <c r="B20" i="6"/>
  <c r="C19" i="6"/>
  <c r="B19" i="6"/>
  <c r="C18" i="6"/>
  <c r="B18" i="6"/>
  <c r="C17" i="6"/>
  <c r="B17" i="6"/>
  <c r="C16" i="6"/>
  <c r="B16" i="6"/>
  <c r="C15" i="6"/>
  <c r="B15" i="6"/>
  <c r="C14" i="6"/>
  <c r="B14" i="6"/>
  <c r="C13" i="6"/>
  <c r="B13" i="6"/>
  <c r="C12" i="6"/>
  <c r="B12" i="6"/>
  <c r="C11" i="6"/>
  <c r="B11" i="6"/>
  <c r="C10" i="6"/>
  <c r="B10" i="6"/>
  <c r="C9" i="6"/>
  <c r="B9" i="6" s="1"/>
  <c r="C8" i="6"/>
  <c r="B8" i="6" s="1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6" i="6"/>
  <c r="BA5" i="6"/>
  <c r="AZ5" i="6"/>
  <c r="AY5" i="6"/>
  <c r="AX5" i="6"/>
  <c r="AW5" i="6"/>
  <c r="AV5" i="6"/>
  <c r="AU5" i="6"/>
  <c r="AT5" i="6"/>
  <c r="AS5" i="6"/>
  <c r="AR5" i="6"/>
  <c r="AQ5" i="6"/>
  <c r="AP5" i="6"/>
  <c r="AO5" i="6"/>
  <c r="AN5" i="6"/>
  <c r="AM5" i="6"/>
  <c r="AL5" i="6"/>
  <c r="AK5" i="6"/>
  <c r="AJ5" i="6"/>
  <c r="AI5" i="6"/>
  <c r="AH5" i="6"/>
  <c r="AG5" i="6"/>
  <c r="AF5" i="6"/>
  <c r="AE5" i="6"/>
  <c r="AD5" i="6"/>
  <c r="AC5" i="6"/>
  <c r="AB5" i="6"/>
  <c r="AA5" i="6"/>
  <c r="Z5" i="6"/>
  <c r="Y5" i="6"/>
  <c r="X5" i="6"/>
  <c r="W5" i="6"/>
  <c r="V5" i="6"/>
  <c r="U5" i="6"/>
  <c r="T5" i="6"/>
  <c r="S5" i="6"/>
  <c r="R5" i="6"/>
  <c r="Q5" i="6"/>
  <c r="P5" i="6"/>
  <c r="O5" i="6"/>
  <c r="N5" i="6"/>
  <c r="M5" i="6"/>
  <c r="L5" i="6"/>
  <c r="K5" i="6"/>
  <c r="J5" i="6"/>
  <c r="I5" i="6"/>
  <c r="H5" i="6"/>
  <c r="G5" i="6"/>
  <c r="F5" i="6"/>
  <c r="E5" i="6"/>
  <c r="D5" i="6"/>
  <c r="C14" i="3"/>
  <c r="C13" i="3"/>
  <c r="C12" i="3"/>
  <c r="C11" i="3"/>
  <c r="D27" i="1"/>
  <c r="E27" i="1" s="1"/>
  <c r="D25" i="1"/>
  <c r="E25" i="1" s="1"/>
  <c r="D21" i="1"/>
  <c r="E21" i="1" s="1"/>
  <c r="D20" i="1"/>
  <c r="E20" i="1" s="1"/>
  <c r="D19" i="1"/>
  <c r="E19" i="1" s="1"/>
  <c r="D17" i="1"/>
  <c r="E17" i="1" s="1"/>
  <c r="D14" i="1"/>
  <c r="E14" i="1" s="1"/>
  <c r="D13" i="1"/>
  <c r="E13" i="1" s="1"/>
  <c r="D12" i="1"/>
  <c r="E12" i="1" s="1"/>
  <c r="D11" i="1"/>
  <c r="E11" i="1" s="1"/>
  <c r="D8" i="1"/>
  <c r="E8" i="1" s="1"/>
  <c r="D7" i="1"/>
  <c r="E7" i="1" s="1"/>
  <c r="D6" i="1"/>
  <c r="E69" i="9" l="1"/>
  <c r="D28" i="1"/>
  <c r="E36" i="9"/>
  <c r="D26" i="1"/>
  <c r="E26" i="1" s="1"/>
  <c r="E6" i="1"/>
  <c r="E28" i="1" l="1"/>
  <c r="D31" i="1"/>
  <c r="E31" i="1" s="1"/>
</calcChain>
</file>

<file path=xl/sharedStrings.xml><?xml version="1.0" encoding="utf-8"?>
<sst xmlns="http://schemas.openxmlformats.org/spreadsheetml/2006/main" count="557" uniqueCount="380">
  <si>
    <t>PORTFOLIO UPLOAD CHECKLIST</t>
  </si>
  <si>
    <t>All checks must pass before uploading to Rivara Insights</t>
  </si>
  <si>
    <t>CLIENT INFORMATION</t>
  </si>
  <si>
    <t>Client name</t>
  </si>
  <si>
    <t>Total NAV</t>
  </si>
  <si>
    <t>Date range set</t>
  </si>
  <si>
    <t>PORTFOLIO</t>
  </si>
  <si>
    <t>At least 1 manager</t>
  </si>
  <si>
    <t>All managers have AC1</t>
  </si>
  <si>
    <t>All managers have benchmark</t>
  </si>
  <si>
    <t>No duplicate manager names</t>
  </si>
  <si>
    <t>DATA SHEETS</t>
  </si>
  <si>
    <t>Mgr_NAVs has data</t>
  </si>
  <si>
    <t>Weights derived from NAVs</t>
  </si>
  <si>
    <t>PASS</t>
  </si>
  <si>
    <t>Weights = NAV / Total NAV (computed by Rivara)</t>
  </si>
  <si>
    <t>Mgr_Returns has data</t>
  </si>
  <si>
    <t>Bench_Returns has data</t>
  </si>
  <si>
    <t>Policy_Bench_Returns has data</t>
  </si>
  <si>
    <t>Data found</t>
  </si>
  <si>
    <t>POLICY SETUP</t>
  </si>
  <si>
    <t>Policy benchmark defined (Block 1)</t>
  </si>
  <si>
    <t>AC targets 95–105%</t>
  </si>
  <si>
    <t>Policy benchmark auto-derivable</t>
  </si>
  <si>
    <t>Alternate benchmarks valid (Blocks 2-3)</t>
  </si>
  <si>
    <t>OVERALL STATUS</t>
  </si>
  <si>
    <t>Ready to upload?</t>
  </si>
  <si>
    <t>Rivara Insights  |  Portfolio Template v13</t>
  </si>
  <si>
    <t>HOW TO FILL THIS OUT</t>
  </si>
  <si>
    <t>1.</t>
  </si>
  <si>
    <t>Go to Client_Info. Fill in client name, dates, NAV, and settings.</t>
  </si>
  <si>
    <t>2.</t>
  </si>
  <si>
    <t>Go to Client_Portfolio. Build your hierarchy (AC1 → AC2 → AC3), add managers, set Start/End dates.</t>
  </si>
  <si>
    <t>3.</t>
  </si>
  <si>
    <t>Go to Policy_Setup. Define Block 1 (Policy) with asset classes, weights, and benchmarks.</t>
  </si>
  <si>
    <t>4.</t>
  </si>
  <si>
    <t>Rivara auto-detects the AC level and computes the Policy Benchmark from Block 1 components.</t>
  </si>
  <si>
    <t>5.</t>
  </si>
  <si>
    <t>Set DIRECT = Yes on any block to paste a pre-computed return stream instead of defining components.</t>
  </si>
  <si>
    <t>6.</t>
  </si>
  <si>
    <t>Use "Bench to Self = Yes" for any asset class that benchmarks to itself (e.g. Cash).</t>
  </si>
  <si>
    <t>7.</t>
  </si>
  <si>
    <t>Optionally define Blocks 2-3 as Alternate benchmarks (e.g. 60/40, CPI + 5%).</t>
  </si>
  <si>
    <t>8.</t>
  </si>
  <si>
    <t>Go to Mgr_NAVs. Enter monthly ending NAVs in dollars. Weights are derived automatically.</t>
  </si>
  <si>
    <t>9.</t>
  </si>
  <si>
    <t>Go to Mgr_Returns. Enter returns as whole numbers (e.g. 5.0 = 5%).</t>
  </si>
  <si>
    <t>10.</t>
  </si>
  <si>
    <t>Go to Bench_Returns. Enter manager benchmark returns (headers auto-populate).</t>
  </si>
  <si>
    <t>11.</t>
  </si>
  <si>
    <t>Go to Policy_Returns. Enter benchmark returns — either direct streams or component returns.</t>
  </si>
  <si>
    <t>12.</t>
  </si>
  <si>
    <t>Check the Checks tab — all items should show PASS.</t>
  </si>
  <si>
    <t>White cells = your input</t>
  </si>
  <si>
    <t>Grey cells = labels and formulas — do not edit</t>
  </si>
  <si>
    <t>Orange text = instructions and guidance</t>
  </si>
  <si>
    <t>_CONFIG — MACHINE-READABLE METADATA</t>
  </si>
  <si>
    <t>[BLOCK:VERSION]</t>
  </si>
  <si>
    <t>KEY</t>
  </si>
  <si>
    <t>VALUE</t>
  </si>
  <si>
    <t>NOTES</t>
  </si>
  <si>
    <t>template_version</t>
  </si>
  <si>
    <t>v13 — Vertical form layout, DIRECT toggle, unified benchmark blocks, demo data</t>
  </si>
  <si>
    <t>max_managers</t>
  </si>
  <si>
    <t>Pre-built manager slots</t>
  </si>
  <si>
    <t>max_months</t>
  </si>
  <si>
    <t>Pre-built month rows</t>
  </si>
  <si>
    <t>max_benchmarks</t>
  </si>
  <si>
    <t>Pre-built benchmark columns on Bench_Returns</t>
  </si>
  <si>
    <t>client_name</t>
  </si>
  <si>
    <t>Pulled from Client Profile</t>
  </si>
  <si>
    <t>total_nav</t>
  </si>
  <si>
    <t>start_date</t>
  </si>
  <si>
    <t>Period start</t>
  </si>
  <si>
    <t>end_date</t>
  </si>
  <si>
    <t>Period end</t>
  </si>
  <si>
    <t>[BLOCK:SHEET_ANCHORS]</t>
  </si>
  <si>
    <t>SHEET</t>
  </si>
  <si>
    <t>BLOCK_TAG</t>
  </si>
  <si>
    <t>ANCHOR_DESCRIPTION</t>
  </si>
  <si>
    <t>Client_Info</t>
  </si>
  <si>
    <t>[BLOCK:CLIENT_INFO]</t>
  </si>
  <si>
    <t>B4 tag; D5=name, D6=id, D7=entity, D8=date, D9=currency</t>
  </si>
  <si>
    <t>[BLOCK:SETTINGS]</t>
  </si>
  <si>
    <t>B12 tag; D13=NAV, D14=start, D15=end, D16=spend, D17=CPI, D18=FYE</t>
  </si>
  <si>
    <t>Client_Portfolio</t>
  </si>
  <si>
    <t>[BLOCK:PORTFOLIO]</t>
  </si>
  <si>
    <t>B4 tag; Row5 hdr; 6-55: C=AC1, D=AC2, E=AC3, F=Name, G=Bench, H=Liq</t>
  </si>
  <si>
    <t>Mgr_NAVs</t>
  </si>
  <si>
    <t>[BLOCK:NAV_MATRIX]</t>
  </si>
  <si>
    <t>B5 tag; Row7 hdr; 8-187: Date(C), NAVs per manager(D+) in dollars</t>
  </si>
  <si>
    <t>Mgr_Returns</t>
  </si>
  <si>
    <t>[BLOCK:RETURN_MATRIX]</t>
  </si>
  <si>
    <t>B5 tag; Row7 hdr; 8-187: Date(C), returns per manager(D+)</t>
  </si>
  <si>
    <t>Bench_Returns</t>
  </si>
  <si>
    <t>[BLOCK:BENCH_MATRIX]</t>
  </si>
  <si>
    <t>B5 tag; Row7 hdr; 8-187: Date(C), returns per unique benchmark(D+)</t>
  </si>
  <si>
    <t>Policy_Setup</t>
  </si>
  <si>
    <t>[BLOCK:BENCH_1]</t>
  </si>
  <si>
    <t>B6 tag; C9=Name, C11=Type, C13=Direct; data rows 16-35: C=AC, D=Wt, E=Bench, F=Self; D36=Total</t>
  </si>
  <si>
    <t>[BLOCK:BENCH_2]</t>
  </si>
  <si>
    <t>B39 tag; C42=Name, C44=Type, C46=Direct; data rows 49-68; D69=Total</t>
  </si>
  <si>
    <t>[BLOCK:BENCH_3]</t>
  </si>
  <si>
    <t>B72 tag; C75=Name, C77=Type, C79=Direct; data rows 82-101; D102=Total</t>
  </si>
  <si>
    <t>Policy_Returns</t>
  </si>
  <si>
    <t>[BLOCK:POLICY_BENCH_MATRIX]</t>
  </si>
  <si>
    <t>B5 tag; Row7 hdr; D-F=Direct(B1/B2/B3); G-Z=Block1(20); AA-AT=Block2(20); AU-BN=Block3(20)</t>
  </si>
  <si>
    <t>[BLOCK:PARSER_NOTES]</t>
  </si>
  <si>
    <t>BENCH_TO_SELF</t>
  </si>
  <si>
    <t>When F column = "Yes" for a policy row, use weighted avg return of managers in that AC as the benchmark. No external benchmark needed.</t>
  </si>
  <si>
    <t>DIRECT_MODE</t>
  </si>
  <si>
    <t>When DIRECT = "Yes" for a block, read return from B*_DIRECT column on Policy_Returns. Ignore component rows.</t>
  </si>
  <si>
    <t>AC_LEVEL_DETECTION</t>
  </si>
  <si>
    <t>Match Block 1 asset class names against Client_Portfolio AC1/AC2/AC3 columns to auto-detect hierarchy level.</t>
  </si>
  <si>
    <t>Fill in your client details below.</t>
  </si>
  <si>
    <t>Client Name</t>
  </si>
  <si>
    <t>Rivara Foundation</t>
  </si>
  <si>
    <t>Client ID / Account #</t>
  </si>
  <si>
    <t>Entity Type</t>
  </si>
  <si>
    <t>Endowment</t>
  </si>
  <si>
    <t>Date Reported</t>
  </si>
  <si>
    <t>Base Currency</t>
  </si>
  <si>
    <t>USD</t>
  </si>
  <si>
    <t>PORTFOLIO SETTINGS</t>
  </si>
  <si>
    <t>Configure your portfolio parameters.</t>
  </si>
  <si>
    <t>Total Portfolio NAV ($)</t>
  </si>
  <si>
    <t>Enter total AUM in dollars</t>
  </si>
  <si>
    <t>Start Date</t>
  </si>
  <si>
    <t>First month-end of period</t>
  </si>
  <si>
    <t>End Date</t>
  </si>
  <si>
    <t>Last month-end of period</t>
  </si>
  <si>
    <t>Spend Rate (%)</t>
  </si>
  <si>
    <t>Annual payout rate</t>
  </si>
  <si>
    <t>Inflation Target (%)</t>
  </si>
  <si>
    <t>CPI assumption</t>
  </si>
  <si>
    <t>Fiscal Year End</t>
  </si>
  <si>
    <t>June 30 or December 31</t>
  </si>
  <si>
    <t>CLIENT PORTFOLIO</t>
  </si>
  <si>
    <t>Define your portfolio hierarchy and managers. Fill only the AC levels you need.</t>
  </si>
  <si>
    <t>#</t>
  </si>
  <si>
    <t>AC1</t>
  </si>
  <si>
    <t>AC2</t>
  </si>
  <si>
    <t>AC3</t>
  </si>
  <si>
    <t>MANAGER NAME</t>
  </si>
  <si>
    <t>MANAGER BENCHMARK</t>
  </si>
  <si>
    <t>LIQUIDITY</t>
  </si>
  <si>
    <t>Capital Appreciation</t>
  </si>
  <si>
    <t>Long-Only Equity</t>
  </si>
  <si>
    <t>US Equity</t>
  </si>
  <si>
    <t>Adage Capital Management</t>
  </si>
  <si>
    <t>S&amp;P 500</t>
  </si>
  <si>
    <t>Liquid</t>
  </si>
  <si>
    <t>Wellington Management</t>
  </si>
  <si>
    <t>Russell 1000</t>
  </si>
  <si>
    <t>AQR 130/30 Equity</t>
  </si>
  <si>
    <t>Developed ex-US Equity</t>
  </si>
  <si>
    <t>Causeway International Value</t>
  </si>
  <si>
    <t>MSCI EAFE</t>
  </si>
  <si>
    <t>Marathon Asset Management</t>
  </si>
  <si>
    <t>Emerging Markets Equity</t>
  </si>
  <si>
    <t>Harding Loevner EM</t>
  </si>
  <si>
    <t>MSCI Emerging Markets</t>
  </si>
  <si>
    <t>Semi-Liquid</t>
  </si>
  <si>
    <t>Private Investments</t>
  </si>
  <si>
    <t>Private Equity</t>
  </si>
  <si>
    <t>KKR Americas Fund XIV</t>
  </si>
  <si>
    <t>Cambridge PE Benchmark</t>
  </si>
  <si>
    <t>Illiquid</t>
  </si>
  <si>
    <t>Thoma Bravo Fund XV</t>
  </si>
  <si>
    <t>Summit Partners Growth IV</t>
  </si>
  <si>
    <t>Venture Capital</t>
  </si>
  <si>
    <t>Sequoia Capital Fund XVII</t>
  </si>
  <si>
    <t>Cambridge VC Benchmark</t>
  </si>
  <si>
    <t>Andreessen Horowitz Fund VII</t>
  </si>
  <si>
    <t>Private Real Assets</t>
  </si>
  <si>
    <t>Brookfield Infrastructure IV</t>
  </si>
  <si>
    <t>CPI + 4%</t>
  </si>
  <si>
    <t>Blackstone Real Estate IX</t>
  </si>
  <si>
    <t>NCREIF ODCE</t>
  </si>
  <si>
    <t>Capital Preservation</t>
  </si>
  <si>
    <t>Hedge Funds</t>
  </si>
  <si>
    <t>Opportunistic</t>
  </si>
  <si>
    <t>Lone Pine Capital</t>
  </si>
  <si>
    <t>HFRI Equity Hedge</t>
  </si>
  <si>
    <t>Paulson Advantage</t>
  </si>
  <si>
    <t>HFRI Event Driven</t>
  </si>
  <si>
    <t>Diversifying</t>
  </si>
  <si>
    <t>Bridgewater Pure Alpha</t>
  </si>
  <si>
    <t>HFRI Macro</t>
  </si>
  <si>
    <t>Citadel Wellington</t>
  </si>
  <si>
    <t>HFRI Multi-Strategy</t>
  </si>
  <si>
    <t>Fixed Income</t>
  </si>
  <si>
    <t>Core</t>
  </si>
  <si>
    <t>PIMCO Total Return</t>
  </si>
  <si>
    <t>Bloomberg US Agg</t>
  </si>
  <si>
    <t>Core Plus</t>
  </si>
  <si>
    <t>Loomis Sayles Core Plus</t>
  </si>
  <si>
    <t>Cash</t>
  </si>
  <si>
    <t>Money Market</t>
  </si>
  <si>
    <t>Vanguard Federal MMF</t>
  </si>
  <si>
    <t>3-Month T-Bill</t>
  </si>
  <si>
    <t>MANAGER NAVs  (Monthly — Ending Market Value)</t>
  </si>
  <si>
    <t>Enter ending NAV in dollars (e.g. 72250000).  If a manager has no NAV for a month, leave blank — do not enter 0.</t>
  </si>
  <si>
    <t>[ASSET CLASS]</t>
  </si>
  <si>
    <t>[ROW TAG]</t>
  </si>
  <si>
    <t>DATE</t>
  </si>
  <si>
    <t>MGR_01</t>
  </si>
  <si>
    <t>MGR_02</t>
  </si>
  <si>
    <t>MGR_03</t>
  </si>
  <si>
    <t>MGR_04</t>
  </si>
  <si>
    <t>MGR_05</t>
  </si>
  <si>
    <t>MGR_06</t>
  </si>
  <si>
    <t>MGR_07</t>
  </si>
  <si>
    <t>MGR_08</t>
  </si>
  <si>
    <t>MGR_09</t>
  </si>
  <si>
    <t>MGR_10</t>
  </si>
  <si>
    <t>MGR_11</t>
  </si>
  <si>
    <t>MGR_12</t>
  </si>
  <si>
    <t>MGR_13</t>
  </si>
  <si>
    <t>MGR_14</t>
  </si>
  <si>
    <t>MGR_15</t>
  </si>
  <si>
    <t>MGR_16</t>
  </si>
  <si>
    <t>MGR_17</t>
  </si>
  <si>
    <t>MGR_18</t>
  </si>
  <si>
    <t>MGR_19</t>
  </si>
  <si>
    <t>MGR_20</t>
  </si>
  <si>
    <t>MGR_21</t>
  </si>
  <si>
    <t>MGR_22</t>
  </si>
  <si>
    <t>MGR_23</t>
  </si>
  <si>
    <t>MGR_24</t>
  </si>
  <si>
    <t>MGR_25</t>
  </si>
  <si>
    <t>MGR_26</t>
  </si>
  <si>
    <t>MGR_27</t>
  </si>
  <si>
    <t>MGR_28</t>
  </si>
  <si>
    <t>MGR_29</t>
  </si>
  <si>
    <t>MGR_30</t>
  </si>
  <si>
    <t>MGR_31</t>
  </si>
  <si>
    <t>MGR_32</t>
  </si>
  <si>
    <t>MGR_33</t>
  </si>
  <si>
    <t>MGR_34</t>
  </si>
  <si>
    <t>MGR_35</t>
  </si>
  <si>
    <t>MGR_36</t>
  </si>
  <si>
    <t>MGR_37</t>
  </si>
  <si>
    <t>MGR_38</t>
  </si>
  <si>
    <t>MGR_39</t>
  </si>
  <si>
    <t>MGR_40</t>
  </si>
  <si>
    <t>MGR_41</t>
  </si>
  <si>
    <t>MGR_42</t>
  </si>
  <si>
    <t>MGR_43</t>
  </si>
  <si>
    <t>MGR_44</t>
  </si>
  <si>
    <t>MGR_45</t>
  </si>
  <si>
    <t>MGR_46</t>
  </si>
  <si>
    <t>MGR_47</t>
  </si>
  <si>
    <t>MGR_48</t>
  </si>
  <si>
    <t>MGR_49</t>
  </si>
  <si>
    <t>MGR_50</t>
  </si>
  <si>
    <t>MANAGER RETURNS  (Monthly)</t>
  </si>
  <si>
    <t>Enter returns as whole numbers (e.g. 5.0 = 5%).  If no return for a month, leave blank — do not enter 0.0.</t>
  </si>
  <si>
    <t>BENCHMARK RETURNS  (Monthly)</t>
  </si>
  <si>
    <t>BENCH_01</t>
  </si>
  <si>
    <t>BENCH_02</t>
  </si>
  <si>
    <t>BENCH_03</t>
  </si>
  <si>
    <t>BENCH_04</t>
  </si>
  <si>
    <t>BENCH_05</t>
  </si>
  <si>
    <t>BENCH_06</t>
  </si>
  <si>
    <t>BENCH_07</t>
  </si>
  <si>
    <t>BENCH_08</t>
  </si>
  <si>
    <t>BENCH_09</t>
  </si>
  <si>
    <t>BENCH_10</t>
  </si>
  <si>
    <t>BENCH_11</t>
  </si>
  <si>
    <t>BENCH_12</t>
  </si>
  <si>
    <t>BENCH_13</t>
  </si>
  <si>
    <t>BENCH_14</t>
  </si>
  <si>
    <t>BENCH_15</t>
  </si>
  <si>
    <t>BENCH_16</t>
  </si>
  <si>
    <t>BENCH_17</t>
  </si>
  <si>
    <t>BENCH_18</t>
  </si>
  <si>
    <t>BENCH_19</t>
  </si>
  <si>
    <t>BENCH_20</t>
  </si>
  <si>
    <t>BENCH_21</t>
  </si>
  <si>
    <t>BENCH_22</t>
  </si>
  <si>
    <t>BENCH_23</t>
  </si>
  <si>
    <t>BENCH_24</t>
  </si>
  <si>
    <t>BENCH_25</t>
  </si>
  <si>
    <t>BENCH_26</t>
  </si>
  <si>
    <t>BENCH_27</t>
  </si>
  <si>
    <t>BENCH_28</t>
  </si>
  <si>
    <t>BENCH_29</t>
  </si>
  <si>
    <t>BENCH_30</t>
  </si>
  <si>
    <t>POLICY &amp; BENCHMARK SETUP</t>
  </si>
  <si>
    <t>Define your policy benchmark and optional alternate benchmarks below.</t>
  </si>
  <si>
    <t>Policy Benchmark = Σ (Weight × Benchmark Return). Rivara auto-detects the AC level. Set DIRECT = Yes to paste returns directly.</t>
  </si>
  <si>
    <t>BENCHMARK 1</t>
  </si>
  <si>
    <t>BENCHMARK NAME:</t>
  </si>
  <si>
    <t>Policy Benchmark</t>
  </si>
  <si>
    <t>TYPE:</t>
  </si>
  <si>
    <t>POLICY</t>
  </si>
  <si>
    <t>DIRECT:</t>
  </si>
  <si>
    <t>No</t>
  </si>
  <si>
    <t>← If Yes, enter return stream directly on Policy_Returns. Components below are ignored.</t>
  </si>
  <si>
    <t>ASSET CLASS</t>
  </si>
  <si>
    <t>WEIGHT</t>
  </si>
  <si>
    <t>BENCHMARK</t>
  </si>
  <si>
    <t>BENCH TO SELF</t>
  </si>
  <si>
    <t>MSCI ACWI</t>
  </si>
  <si>
    <t>HFRI FoF</t>
  </si>
  <si>
    <t>Yes</t>
  </si>
  <si>
    <t>TOTAL</t>
  </si>
  <si>
    <t>BENCHMARK 2</t>
  </si>
  <si>
    <t>ALTERNATE</t>
  </si>
  <si>
    <t>BENCHMARK 3</t>
  </si>
  <si>
    <t>POLICY &amp; BENCHMARK RETURNS  (Monthly)</t>
  </si>
  <si>
    <t>Enter returns as whole numbers (e.g. 5.0 = 5%).  If no return for a month, leave blank.</t>
  </si>
  <si>
    <t>DIRECT STREAMS</t>
  </si>
  <si>
    <t>BLOCK 1 COMPONENTS</t>
  </si>
  <si>
    <t>BLOCK 2 COMPONENTS</t>
  </si>
  <si>
    <t>BLOCK 3 COMPONENTS</t>
  </si>
  <si>
    <t>B1_DIRECT</t>
  </si>
  <si>
    <t>B2_DIRECT</t>
  </si>
  <si>
    <t>B3_DIRECT</t>
  </si>
  <si>
    <t>B1_01</t>
  </si>
  <si>
    <t>B1_02</t>
  </si>
  <si>
    <t>B1_03</t>
  </si>
  <si>
    <t>B1_04</t>
  </si>
  <si>
    <t>B1_05</t>
  </si>
  <si>
    <t>B1_06</t>
  </si>
  <si>
    <t>B1_07</t>
  </si>
  <si>
    <t>B1_08</t>
  </si>
  <si>
    <t>B1_09</t>
  </si>
  <si>
    <t>B1_10</t>
  </si>
  <si>
    <t>B1_11</t>
  </si>
  <si>
    <t>B1_12</t>
  </si>
  <si>
    <t>B1_13</t>
  </si>
  <si>
    <t>B1_14</t>
  </si>
  <si>
    <t>B1_15</t>
  </si>
  <si>
    <t>B1_16</t>
  </si>
  <si>
    <t>B1_17</t>
  </si>
  <si>
    <t>B1_18</t>
  </si>
  <si>
    <t>B1_19</t>
  </si>
  <si>
    <t>B1_20</t>
  </si>
  <si>
    <t>B2_01</t>
  </si>
  <si>
    <t>B2_02</t>
  </si>
  <si>
    <t>B2_03</t>
  </si>
  <si>
    <t>B2_04</t>
  </si>
  <si>
    <t>B2_05</t>
  </si>
  <si>
    <t>B2_06</t>
  </si>
  <si>
    <t>B2_07</t>
  </si>
  <si>
    <t>B2_08</t>
  </si>
  <si>
    <t>B2_09</t>
  </si>
  <si>
    <t>B2_10</t>
  </si>
  <si>
    <t>B2_11</t>
  </si>
  <si>
    <t>B2_12</t>
  </si>
  <si>
    <t>B2_13</t>
  </si>
  <si>
    <t>B2_14</t>
  </si>
  <si>
    <t>B2_15</t>
  </si>
  <si>
    <t>B2_16</t>
  </si>
  <si>
    <t>B2_17</t>
  </si>
  <si>
    <t>B2_18</t>
  </si>
  <si>
    <t>B2_19</t>
  </si>
  <si>
    <t>B2_20</t>
  </si>
  <si>
    <t>B3_01</t>
  </si>
  <si>
    <t>B3_02</t>
  </si>
  <si>
    <t>B3_03</t>
  </si>
  <si>
    <t>B3_04</t>
  </si>
  <si>
    <t>B3_05</t>
  </si>
  <si>
    <t>B3_06</t>
  </si>
  <si>
    <t>B3_07</t>
  </si>
  <si>
    <t>B3_08</t>
  </si>
  <si>
    <t>B3_09</t>
  </si>
  <si>
    <t>B3_10</t>
  </si>
  <si>
    <t>B3_11</t>
  </si>
  <si>
    <t>B3_12</t>
  </si>
  <si>
    <t>B3_13</t>
  </si>
  <si>
    <t>B3_14</t>
  </si>
  <si>
    <t>B3_15</t>
  </si>
  <si>
    <t>B3_16</t>
  </si>
  <si>
    <t>B3_17</t>
  </si>
  <si>
    <t>B3_18</t>
  </si>
  <si>
    <t>B3_19</t>
  </si>
  <si>
    <t>B3_20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</si>
</sst>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yyyy\-mm\-dd"/>
    <numFmt numFmtId="165" formatCode="0.0"/>
    <numFmt numFmtId="166" formatCode="m/d/yyyy;@"/>
    <numFmt numFmtId="167" formatCode="&quot;$&quot;#,##0.00"/>
    <numFmt numFmtId="168" formatCode="mmm\ yyyy"/>
    <numFmt numFmtId="169" formatCode="0.0%"/>
  </numFmts>
  <fonts count="53" x14ac:knownFonts="1">
    <font>
      <sz val="11"/>
      <color theme="1"/>
      <name val="Calibri"/>
      <family val="2"/>
      <charset val="1"/>
    </font>
    <font>
      <sz val="10"/>
      <color rgb="FF333333"/>
      <name val="Arial"/>
      <family val="2"/>
    </font>
    <font>
      <b/>
      <sz val="12"/>
      <color rgb="FFFFFFFF"/>
      <name val="Arial"/>
      <family val="2"/>
      <charset val="1"/>
    </font>
    <font>
      <sz val="10"/>
      <color rgb="FF333333"/>
      <name val="Arial"/>
      <family val="2"/>
      <charset val="1"/>
    </font>
    <font>
      <b/>
      <sz val="10"/>
      <color rgb="FF333333"/>
      <name val="Arial"/>
      <family val="2"/>
      <charset val="1"/>
    </font>
    <font>
      <sz val="10"/>
      <color rgb="FFE87722"/>
      <name val="Arial"/>
      <family val="2"/>
      <charset val="1"/>
    </font>
    <font>
      <sz val="10"/>
      <color rgb="FFE87722"/>
      <name val="Arial"/>
      <family val="2"/>
    </font>
    <font>
      <sz val="9"/>
      <color rgb="FF999999"/>
      <name val="Arial"/>
      <family val="2"/>
      <charset val="1"/>
    </font>
    <font>
      <sz val="10"/>
      <color rgb="FF000000"/>
      <name val="Arial"/>
      <family val="2"/>
      <charset val="1"/>
    </font>
    <font>
      <b/>
      <sz val="10"/>
      <color rgb="FFFFFFFF"/>
      <name val="Arial"/>
      <family val="2"/>
      <charset val="1"/>
    </font>
    <font>
      <sz val="10"/>
      <color rgb="FF999999"/>
      <name val="Arial"/>
      <family val="2"/>
      <charset val="1"/>
    </font>
    <font>
      <b/>
      <sz val="12"/>
      <color rgb="FFFFFFFF"/>
      <name val="Arial"/>
      <family val="2"/>
    </font>
    <font>
      <sz val="9"/>
      <color rgb="FF999999"/>
      <name val="Arial"/>
      <family val="2"/>
    </font>
    <font>
      <b/>
      <sz val="9"/>
      <color rgb="FF333333"/>
      <name val="Arial"/>
      <family val="2"/>
    </font>
    <font>
      <b/>
      <sz val="10"/>
      <color rgb="FFFFFFFF"/>
      <name val="Arial"/>
      <family val="2"/>
    </font>
    <font>
      <sz val="8"/>
      <color rgb="FF253755"/>
      <name val="Arial"/>
      <family val="2"/>
      <charset val="1"/>
    </font>
    <font>
      <sz val="10"/>
      <color rgb="FF000000"/>
      <name val="Arial"/>
      <family val="2"/>
    </font>
    <font>
      <sz val="10"/>
      <color rgb="FFAAAAAA"/>
      <name val="Arial"/>
      <family val="2"/>
      <charset val="1"/>
    </font>
    <font>
      <sz val="10"/>
      <color theme="1"/>
      <name val="Arial"/>
      <family val="2"/>
    </font>
    <font>
      <sz val="10"/>
      <color rgb="FF000000"/>
      <name val="Calibri"/>
      <family val="2"/>
    </font>
    <font>
      <b/>
      <sz val="11"/>
      <color rgb="FF000000"/>
      <name val="Calibri"/>
      <family val="2"/>
    </font>
    <font>
      <b/>
      <sz val="10"/>
      <color rgb="FF333333"/>
      <name val="Arial"/>
      <family val="2"/>
    </font>
    <font>
      <sz val="10"/>
      <name val="Arial"/>
      <family val="2"/>
    </font>
    <font>
      <sz val="10"/>
      <color rgb="FF333333"/>
      <name val="Arial"/>
      <family val="2"/>
    </font>
    <font>
      <sz val="10"/>
      <color rgb="FF666666"/>
      <name val="Arial"/>
      <family val="2"/>
    </font>
    <font>
      <sz val="10"/>
      <name val="Arial"/>
      <family val="2"/>
    </font>
    <font>
      <b/>
      <sz val="12"/>
      <color rgb="FFFFFFFF"/>
      <name val="Arial"/>
      <family val="2"/>
    </font>
    <font>
      <sz val="10"/>
      <color rgb="FFCC6600"/>
      <name val="Calibri"/>
      <family val="2"/>
    </font>
    <font>
      <b/>
      <sz val="10"/>
      <color rgb="FF333333"/>
      <name val="Arial"/>
      <family val="2"/>
    </font>
    <font>
      <sz val="9"/>
      <color rgb="FF999999"/>
      <name val="Calibri"/>
      <family val="2"/>
    </font>
    <font>
      <sz val="9"/>
      <color rgb="FF999999"/>
      <name val="Arial"/>
      <family val="2"/>
    </font>
    <font>
      <b/>
      <sz val="10"/>
      <color rgb="FFFFFFFF"/>
      <name val="Arial"/>
      <family val="2"/>
    </font>
    <font>
      <sz val="10"/>
      <color rgb="FF999999"/>
      <name val="Arial"/>
      <family val="2"/>
    </font>
    <font>
      <sz val="10"/>
      <color rgb="FF000000"/>
      <name val="Arial"/>
      <family val="2"/>
    </font>
    <font>
      <b/>
      <sz val="10"/>
      <color rgb="FF2E7D32"/>
      <name val="Arial"/>
      <family val="2"/>
    </font>
    <font>
      <sz val="10"/>
      <color rgb="FF000000"/>
      <name val="Calibri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10"/>
      <color rgb="FF333333"/>
      <name val="Arial"/>
      <family val="2"/>
    </font>
    <font>
      <b/>
      <sz val="11"/>
      <color rgb="FF1A3D2B"/>
      <name val="Arial"/>
      <family val="2"/>
    </font>
    <font>
      <sz val="9"/>
      <color rgb="FF999999"/>
      <name val="Calibri"/>
      <family val="2"/>
    </font>
    <font>
      <sz val="10"/>
      <color rgb="FFCC6600"/>
      <name val="Calibri"/>
      <family val="2"/>
    </font>
    <font>
      <sz val="10"/>
      <name val="Arial"/>
      <family val="2"/>
    </font>
    <font>
      <b/>
      <sz val="9"/>
      <color rgb="FF333333"/>
      <name val="Arial"/>
      <family val="2"/>
    </font>
    <font>
      <b/>
      <sz val="9"/>
      <color rgb="FFFFFFFF"/>
      <name val="Arial"/>
      <family val="2"/>
    </font>
    <font>
      <b/>
      <sz val="10"/>
      <color rgb="FFFFFFFF"/>
      <name val="Arial"/>
      <family val="2"/>
    </font>
    <font>
      <sz val="10"/>
      <color rgb="FF000000"/>
      <name val="Arial"/>
      <family val="2"/>
    </font>
    <font>
      <sz val="9"/>
      <name val="Arial"/>
      <family val="2"/>
    </font>
    <font>
      <b/>
      <sz val="10"/>
      <color rgb="FF333333"/>
      <name val="Arial"/>
      <family val="2"/>
    </font>
    <font>
      <sz val="9"/>
      <color rgb="FF333333"/>
      <name val="Arial"/>
      <family val="2"/>
    </font>
    <font>
      <sz val="9"/>
      <color rgb="FF999999"/>
      <name val="Arial"/>
      <family val="2"/>
    </font>
    <font>
      <b/>
      <sz val="9"/>
      <color rgb="FF333333"/>
      <name val="Arial"/>
      <family val="2"/>
    </font>
    <font>
      <sz val="9"/>
      <color rgb="FF666666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rgb="FFF2F2F2"/>
        <bgColor rgb="FFF5F5F0"/>
      </patternFill>
    </fill>
    <fill>
      <patternFill patternType="solid">
        <fgColor rgb="FF333333"/>
        <bgColor rgb="FF3A3A3A"/>
      </patternFill>
    </fill>
    <fill>
      <patternFill patternType="solid">
        <fgColor rgb="FFFFFFFF"/>
        <bgColor rgb="FFF5F5F0"/>
      </patternFill>
    </fill>
    <fill>
      <patternFill patternType="solid">
        <fgColor rgb="FF4A4A4A"/>
        <bgColor rgb="FF3A3A3A"/>
      </patternFill>
    </fill>
    <fill>
      <patternFill patternType="solid">
        <fgColor rgb="FFE0E0E0"/>
        <bgColor rgb="FFD9D9D9"/>
      </patternFill>
    </fill>
    <fill>
      <patternFill patternType="solid">
        <fgColor rgb="FFF2F2F2"/>
        <bgColor rgb="FFF2F2F2"/>
      </patternFill>
    </fill>
    <fill>
      <patternFill patternType="solid">
        <fgColor rgb="FFE0E0E0"/>
        <bgColor rgb="FFE0E0E0"/>
      </patternFill>
    </fill>
    <fill>
      <patternFill patternType="solid">
        <fgColor theme="0" tint="-0.14999847407452621"/>
        <bgColor rgb="FFF5F5F0"/>
      </patternFill>
    </fill>
    <fill>
      <patternFill patternType="solid">
        <fgColor rgb="FF333333"/>
      </patternFill>
    </fill>
    <fill>
      <patternFill patternType="solid">
        <fgColor rgb="FFF2F2F2"/>
      </patternFill>
    </fill>
    <fill>
      <patternFill patternType="solid">
        <fgColor rgb="FF4A4A4A"/>
      </patternFill>
    </fill>
    <fill>
      <patternFill patternType="solid">
        <fgColor rgb="FFFFFFFF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8E1"/>
      </patternFill>
    </fill>
    <fill>
      <patternFill patternType="solid">
        <fgColor rgb="FF4A4A4A"/>
      </patternFill>
    </fill>
    <fill>
      <patternFill patternType="solid">
        <fgColor rgb="FFE0E0E0"/>
      </patternFill>
    </fill>
    <fill>
      <patternFill patternType="solid">
        <fgColor rgb="FFFFFFFF"/>
      </patternFill>
    </fill>
    <fill>
      <patternFill patternType="solid">
        <fgColor rgb="FFFFFFFF"/>
      </patternFill>
    </fill>
  </fills>
  <borders count="13">
    <border>
      <left/>
      <right/>
      <top/>
      <bottom/>
      <diagonal/>
    </border>
    <border>
      <left style="thin">
        <color rgb="FFE0E0E0"/>
      </left>
      <right style="thin">
        <color rgb="FFE0E0E0"/>
      </right>
      <top style="thin">
        <color rgb="FFE0E0E0"/>
      </top>
      <bottom style="thin">
        <color rgb="FFE0E0E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0" tint="-0.249977111117893"/>
      </left>
      <right style="medium">
        <color theme="0" tint="-0.249977111117893"/>
      </right>
      <top style="medium">
        <color theme="0" tint="-0.249977111117893"/>
      </top>
      <bottom style="medium">
        <color theme="0" tint="-0.249977111117893"/>
      </bottom>
      <diagonal/>
    </border>
    <border>
      <left style="medium">
        <color theme="0" tint="-0.249977111117893"/>
      </left>
      <right/>
      <top style="medium">
        <color theme="0" tint="-0.249977111117893"/>
      </top>
      <bottom style="medium">
        <color theme="0" tint="-0.249977111117893"/>
      </bottom>
      <diagonal/>
    </border>
    <border>
      <left/>
      <right/>
      <top style="medium">
        <color theme="0" tint="-0.249977111117893"/>
      </top>
      <bottom style="medium">
        <color theme="0" tint="-0.249977111117893"/>
      </bottom>
      <diagonal/>
    </border>
    <border>
      <left/>
      <right style="medium">
        <color theme="0" tint="-0.249977111117893"/>
      </right>
      <top style="medium">
        <color theme="0" tint="-0.249977111117893"/>
      </top>
      <bottom style="medium">
        <color theme="0" tint="-0.249977111117893"/>
      </bottom>
      <diagonal/>
    </border>
    <border>
      <left style="medium">
        <color theme="0" tint="-0.249977111117893"/>
      </left>
      <right style="medium">
        <color theme="0" tint="-0.249977111117893"/>
      </right>
      <top/>
      <bottom style="medium">
        <color theme="0" tint="-0.249977111117893"/>
      </bottom>
      <diagonal/>
    </border>
    <border>
      <left style="medium">
        <color theme="0" tint="-0.249977111117893"/>
      </left>
      <right/>
      <top/>
      <bottom/>
      <diagonal/>
    </border>
    <border>
      <left style="medium">
        <color theme="0" tint="-0.249977111117893"/>
      </left>
      <right/>
      <top/>
      <bottom style="medium">
        <color theme="0" tint="-0.249977111117893"/>
      </bottom>
      <diagonal/>
    </border>
    <border>
      <left/>
      <right/>
      <top/>
      <bottom style="medium">
        <color theme="0" tint="-0.249977111117893"/>
      </bottom>
      <diagonal/>
    </border>
    <border>
      <left/>
      <right style="medium">
        <color theme="0" tint="-0.249977111117893"/>
      </right>
      <top/>
      <bottom/>
      <diagonal/>
    </border>
    <border>
      <left/>
      <right style="medium">
        <color theme="0" tint="-0.249977111117893"/>
      </right>
      <top/>
      <bottom style="medium">
        <color theme="0" tint="-0.249977111117893"/>
      </bottom>
      <diagonal/>
    </border>
  </borders>
  <cellStyleXfs count="1">
    <xf numFmtId="0" fontId="0" fillId="0" borderId="0"/>
  </cellStyleXfs>
  <cellXfs count="151">
    <xf numFmtId="0" fontId="0" fillId="0" borderId="0" xfId="0"/>
    <xf numFmtId="0" fontId="0" fillId="2" borderId="1" xfId="0" applyFill="1" applyBorder="1"/>
    <xf numFmtId="0" fontId="0" fillId="2" borderId="0" xfId="0" applyFill="1"/>
    <xf numFmtId="0" fontId="1" fillId="2" borderId="0" xfId="0" applyFont="1" applyFill="1"/>
    <xf numFmtId="3" fontId="0" fillId="2" borderId="0" xfId="0" applyNumberFormat="1" applyFill="1"/>
    <xf numFmtId="164" fontId="0" fillId="2" borderId="0" xfId="0" applyNumberFormat="1" applyFill="1"/>
    <xf numFmtId="0" fontId="2" fillId="3" borderId="0" xfId="0" applyFont="1" applyFill="1" applyAlignment="1">
      <alignment horizontal="left" vertical="center"/>
    </xf>
    <xf numFmtId="0" fontId="3" fillId="3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left" vertical="center"/>
    </xf>
    <xf numFmtId="0" fontId="1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7" fillId="2" borderId="0" xfId="0" applyFont="1" applyFill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8" fillId="4" borderId="0" xfId="0" applyFont="1" applyFill="1" applyAlignment="1" applyProtection="1">
      <alignment horizontal="left" vertical="center"/>
      <protection locked="0"/>
    </xf>
    <xf numFmtId="0" fontId="10" fillId="2" borderId="0" xfId="0" applyFont="1" applyFill="1" applyAlignment="1">
      <alignment horizontal="center" vertical="center"/>
    </xf>
    <xf numFmtId="0" fontId="11" fillId="3" borderId="0" xfId="0" applyFont="1" applyFill="1" applyAlignment="1">
      <alignment horizontal="left" vertical="center"/>
    </xf>
    <xf numFmtId="0" fontId="17" fillId="3" borderId="0" xfId="0" applyFont="1" applyFill="1"/>
    <xf numFmtId="0" fontId="17" fillId="2" borderId="0" xfId="0" applyFont="1" applyFill="1"/>
    <xf numFmtId="0" fontId="12" fillId="2" borderId="0" xfId="0" applyFont="1" applyFill="1" applyAlignment="1">
      <alignment horizontal="left" vertical="center"/>
    </xf>
    <xf numFmtId="0" fontId="13" fillId="6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left" vertical="center"/>
    </xf>
    <xf numFmtId="0" fontId="14" fillId="5" borderId="0" xfId="0" applyFont="1" applyFill="1" applyAlignment="1">
      <alignment horizontal="left" vertical="center"/>
    </xf>
    <xf numFmtId="165" fontId="16" fillId="4" borderId="0" xfId="0" applyNumberFormat="1" applyFont="1" applyFill="1" applyAlignment="1" applyProtection="1">
      <alignment horizontal="left" vertical="center"/>
      <protection locked="0"/>
    </xf>
    <xf numFmtId="0" fontId="15" fillId="2" borderId="0" xfId="0" applyFont="1" applyFill="1" applyAlignment="1">
      <alignment horizontal="left" vertical="center"/>
    </xf>
    <xf numFmtId="0" fontId="1" fillId="2" borderId="0" xfId="0" applyFont="1" applyFill="1" applyProtection="1">
      <protection locked="0"/>
    </xf>
    <xf numFmtId="0" fontId="13" fillId="6" borderId="0" xfId="0" applyFont="1" applyFill="1" applyAlignment="1">
      <alignment horizontal="left" vertical="center" wrapText="1"/>
    </xf>
    <xf numFmtId="0" fontId="19" fillId="7" borderId="0" xfId="0" applyFont="1" applyFill="1" applyAlignment="1">
      <alignment horizontal="left" vertical="center"/>
    </xf>
    <xf numFmtId="0" fontId="20" fillId="8" borderId="0" xfId="0" applyFont="1" applyFill="1" applyAlignment="1">
      <alignment horizontal="left" vertical="center" wrapText="1"/>
    </xf>
    <xf numFmtId="166" fontId="18" fillId="9" borderId="0" xfId="0" applyNumberFormat="1" applyFont="1" applyFill="1" applyAlignment="1">
      <alignment vertical="center"/>
    </xf>
    <xf numFmtId="0" fontId="3" fillId="4" borderId="2" xfId="0" applyFont="1" applyFill="1" applyBorder="1" applyAlignment="1">
      <alignment horizontal="left" vertical="center"/>
    </xf>
    <xf numFmtId="167" fontId="5" fillId="2" borderId="0" xfId="0" applyNumberFormat="1" applyFont="1" applyFill="1" applyAlignment="1">
      <alignment horizontal="left" vertical="center" indent="1"/>
    </xf>
    <xf numFmtId="167" fontId="3" fillId="2" borderId="0" xfId="0" applyNumberFormat="1" applyFont="1" applyFill="1" applyAlignment="1">
      <alignment horizontal="left" vertical="center" indent="1"/>
    </xf>
    <xf numFmtId="0" fontId="3" fillId="2" borderId="3" xfId="0" applyFont="1" applyFill="1" applyBorder="1" applyAlignment="1">
      <alignment horizontal="center" vertical="center"/>
    </xf>
    <xf numFmtId="0" fontId="8" fillId="4" borderId="3" xfId="0" applyFont="1" applyFill="1" applyBorder="1" applyAlignment="1" applyProtection="1">
      <alignment horizontal="center" vertical="center"/>
      <protection locked="0"/>
    </xf>
    <xf numFmtId="164" fontId="8" fillId="4" borderId="3" xfId="0" applyNumberFormat="1" applyFont="1" applyFill="1" applyBorder="1" applyAlignment="1" applyProtection="1">
      <alignment horizontal="center" vertical="center"/>
      <protection locked="0"/>
    </xf>
    <xf numFmtId="3" fontId="8" fillId="4" borderId="3" xfId="0" applyNumberFormat="1" applyFont="1" applyFill="1" applyBorder="1" applyAlignment="1" applyProtection="1">
      <alignment horizontal="center" vertical="center"/>
      <protection locked="0"/>
    </xf>
    <xf numFmtId="165" fontId="8" fillId="4" borderId="3" xfId="0" applyNumberFormat="1" applyFont="1" applyFill="1" applyBorder="1" applyAlignment="1" applyProtection="1">
      <alignment horizontal="center" vertical="center"/>
      <protection locked="0"/>
    </xf>
    <xf numFmtId="168" fontId="8" fillId="0" borderId="3" xfId="0" applyNumberFormat="1" applyFont="1" applyBorder="1" applyAlignment="1" applyProtection="1">
      <alignment horizontal="center" vertical="center"/>
      <protection locked="0"/>
    </xf>
    <xf numFmtId="0" fontId="3" fillId="2" borderId="0" xfId="0" applyFont="1" applyFill="1" applyAlignment="1">
      <alignment horizontal="left" vertical="center" indent="2"/>
    </xf>
    <xf numFmtId="0" fontId="1" fillId="2" borderId="0" xfId="0" applyFont="1" applyFill="1" applyAlignment="1">
      <alignment horizontal="left" vertical="center" indent="2"/>
    </xf>
    <xf numFmtId="0" fontId="0" fillId="2" borderId="0" xfId="0" applyFill="1" applyAlignment="1">
      <alignment horizontal="left" indent="2"/>
    </xf>
    <xf numFmtId="0" fontId="2" fillId="3" borderId="4" xfId="0" applyFont="1" applyFill="1" applyBorder="1" applyAlignment="1">
      <alignment horizontal="left" vertical="center"/>
    </xf>
    <xf numFmtId="0" fontId="3" fillId="3" borderId="5" xfId="0" applyFont="1" applyFill="1" applyBorder="1" applyAlignment="1">
      <alignment horizontal="left" vertical="center"/>
    </xf>
    <xf numFmtId="0" fontId="3" fillId="3" borderId="6" xfId="0" applyFont="1" applyFill="1" applyBorder="1" applyAlignment="1">
      <alignment horizontal="left" vertical="center"/>
    </xf>
    <xf numFmtId="0" fontId="3" fillId="2" borderId="7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left" vertical="center"/>
    </xf>
    <xf numFmtId="0" fontId="1" fillId="3" borderId="6" xfId="0" applyFont="1" applyFill="1" applyBorder="1" applyAlignment="1">
      <alignment horizontal="left" vertical="center"/>
    </xf>
    <xf numFmtId="0" fontId="1" fillId="3" borderId="6" xfId="0" applyFont="1" applyFill="1" applyBorder="1" applyAlignment="1">
      <alignment horizontal="left" vertical="center" indent="2"/>
    </xf>
    <xf numFmtId="0" fontId="4" fillId="2" borderId="7" xfId="0" applyFont="1" applyFill="1" applyBorder="1" applyAlignment="1">
      <alignment horizontal="center" vertical="center"/>
    </xf>
    <xf numFmtId="0" fontId="0" fillId="3" borderId="6" xfId="0" applyFill="1" applyBorder="1"/>
    <xf numFmtId="0" fontId="9" fillId="5" borderId="4" xfId="0" applyFont="1" applyFill="1" applyBorder="1" applyAlignment="1">
      <alignment horizontal="left" vertical="center"/>
    </xf>
    <xf numFmtId="0" fontId="9" fillId="5" borderId="5" xfId="0" applyFont="1" applyFill="1" applyBorder="1" applyAlignment="1">
      <alignment horizontal="left" vertical="center"/>
    </xf>
    <xf numFmtId="0" fontId="9" fillId="5" borderId="6" xfId="0" applyFont="1" applyFill="1" applyBorder="1" applyAlignment="1">
      <alignment horizontal="left" vertical="center"/>
    </xf>
    <xf numFmtId="0" fontId="23" fillId="2" borderId="0" xfId="0" applyFont="1" applyFill="1" applyAlignment="1">
      <alignment horizontal="left" vertical="center"/>
    </xf>
    <xf numFmtId="0" fontId="24" fillId="2" borderId="0" xfId="0" applyFont="1" applyFill="1" applyAlignment="1">
      <alignment horizontal="left" vertical="center" indent="2"/>
    </xf>
    <xf numFmtId="0" fontId="25" fillId="0" borderId="0" xfId="0" applyFont="1"/>
    <xf numFmtId="0" fontId="25" fillId="10" borderId="5" xfId="0" applyFont="1" applyFill="1" applyBorder="1"/>
    <xf numFmtId="0" fontId="26" fillId="10" borderId="0" xfId="0" applyFont="1" applyFill="1" applyAlignment="1">
      <alignment horizontal="left" vertical="center"/>
    </xf>
    <xf numFmtId="0" fontId="35" fillId="11" borderId="0" xfId="0" applyFont="1" applyFill="1" applyAlignment="1">
      <alignment horizontal="left" vertical="center"/>
    </xf>
    <xf numFmtId="0" fontId="30" fillId="11" borderId="0" xfId="0" applyFont="1" applyFill="1" applyAlignment="1">
      <alignment horizontal="left" vertical="center"/>
    </xf>
    <xf numFmtId="0" fontId="31" fillId="12" borderId="0" xfId="0" applyFont="1" applyFill="1" applyAlignment="1">
      <alignment horizontal="left" vertical="center"/>
    </xf>
    <xf numFmtId="0" fontId="27" fillId="0" borderId="0" xfId="0" applyFont="1"/>
    <xf numFmtId="0" fontId="28" fillId="0" borderId="0" xfId="0" applyFont="1"/>
    <xf numFmtId="0" fontId="29" fillId="0" borderId="0" xfId="0" applyFont="1"/>
    <xf numFmtId="169" fontId="25" fillId="0" borderId="0" xfId="0" applyNumberFormat="1" applyFont="1"/>
    <xf numFmtId="0" fontId="30" fillId="11" borderId="0" xfId="0" applyFont="1" applyFill="1"/>
    <xf numFmtId="0" fontId="25" fillId="10" borderId="6" xfId="0" applyFont="1" applyFill="1" applyBorder="1"/>
    <xf numFmtId="0" fontId="25" fillId="0" borderId="0" xfId="0" applyFont="1" applyAlignment="1">
      <alignment vertical="center"/>
    </xf>
    <xf numFmtId="169" fontId="25" fillId="0" borderId="6" xfId="0" applyNumberFormat="1" applyFont="1" applyBorder="1" applyAlignment="1">
      <alignment vertical="center"/>
    </xf>
    <xf numFmtId="0" fontId="27" fillId="0" borderId="0" xfId="0" applyFont="1" applyAlignment="1">
      <alignment horizontal="left" vertical="center" indent="2"/>
    </xf>
    <xf numFmtId="169" fontId="33" fillId="13" borderId="0" xfId="0" applyNumberFormat="1" applyFont="1" applyFill="1" applyAlignment="1" applyProtection="1">
      <alignment horizontal="left" vertical="center"/>
      <protection locked="0"/>
    </xf>
    <xf numFmtId="0" fontId="33" fillId="13" borderId="0" xfId="0" applyFont="1" applyFill="1" applyAlignment="1" applyProtection="1">
      <alignment horizontal="left" vertical="center"/>
      <protection locked="0"/>
    </xf>
    <xf numFmtId="0" fontId="25" fillId="13" borderId="0" xfId="0" applyFont="1" applyFill="1" applyAlignment="1" applyProtection="1">
      <alignment horizontal="left" vertical="center"/>
      <protection locked="0"/>
    </xf>
    <xf numFmtId="169" fontId="36" fillId="14" borderId="3" xfId="0" applyNumberFormat="1" applyFont="1" applyFill="1" applyBorder="1" applyAlignment="1" applyProtection="1">
      <alignment horizontal="center" vertical="center"/>
      <protection locked="0"/>
    </xf>
    <xf numFmtId="0" fontId="32" fillId="11" borderId="0" xfId="0" applyFont="1" applyFill="1" applyAlignment="1">
      <alignment horizontal="left" vertical="center"/>
    </xf>
    <xf numFmtId="169" fontId="25" fillId="13" borderId="0" xfId="0" applyNumberFormat="1" applyFont="1" applyFill="1" applyAlignment="1" applyProtection="1">
      <alignment horizontal="left" vertical="center"/>
      <protection locked="0"/>
    </xf>
    <xf numFmtId="0" fontId="33" fillId="13" borderId="8" xfId="0" applyFont="1" applyFill="1" applyBorder="1" applyAlignment="1" applyProtection="1">
      <alignment horizontal="left" vertical="center"/>
      <protection locked="0"/>
    </xf>
    <xf numFmtId="169" fontId="33" fillId="13" borderId="11" xfId="0" applyNumberFormat="1" applyFont="1" applyFill="1" applyBorder="1" applyAlignment="1" applyProtection="1">
      <alignment horizontal="center" vertical="center"/>
      <protection locked="0"/>
    </xf>
    <xf numFmtId="0" fontId="25" fillId="13" borderId="8" xfId="0" applyFont="1" applyFill="1" applyBorder="1" applyAlignment="1" applyProtection="1">
      <alignment horizontal="left" vertical="center"/>
      <protection locked="0"/>
    </xf>
    <xf numFmtId="169" fontId="25" fillId="13" borderId="11" xfId="0" applyNumberFormat="1" applyFont="1" applyFill="1" applyBorder="1" applyAlignment="1" applyProtection="1">
      <alignment vertical="center"/>
      <protection locked="0"/>
    </xf>
    <xf numFmtId="169" fontId="25" fillId="0" borderId="12" xfId="0" applyNumberFormat="1" applyFont="1" applyBorder="1" applyAlignment="1">
      <alignment vertical="center"/>
    </xf>
    <xf numFmtId="0" fontId="28" fillId="0" borderId="4" xfId="0" applyFont="1" applyBorder="1" applyAlignment="1">
      <alignment vertical="center"/>
    </xf>
    <xf numFmtId="169" fontId="34" fillId="0" borderId="5" xfId="0" applyNumberFormat="1" applyFont="1" applyBorder="1" applyAlignment="1">
      <alignment horizontal="left" vertical="center"/>
    </xf>
    <xf numFmtId="0" fontId="34" fillId="0" borderId="5" xfId="0" applyFont="1" applyBorder="1" applyAlignment="1">
      <alignment horizontal="left" vertical="center"/>
    </xf>
    <xf numFmtId="0" fontId="12" fillId="11" borderId="0" xfId="0" applyFont="1" applyFill="1"/>
    <xf numFmtId="0" fontId="26" fillId="10" borderId="4" xfId="0" applyFont="1" applyFill="1" applyBorder="1" applyAlignment="1">
      <alignment vertical="center"/>
    </xf>
    <xf numFmtId="0" fontId="37" fillId="16" borderId="4" xfId="0" applyFont="1" applyFill="1" applyBorder="1" applyAlignment="1">
      <alignment horizontal="centerContinuous" vertical="center"/>
    </xf>
    <xf numFmtId="169" fontId="37" fillId="16" borderId="5" xfId="0" applyNumberFormat="1" applyFont="1" applyFill="1" applyBorder="1" applyAlignment="1">
      <alignment horizontal="centerContinuous" vertical="center"/>
    </xf>
    <xf numFmtId="0" fontId="37" fillId="16" borderId="5" xfId="0" applyFont="1" applyFill="1" applyBorder="1" applyAlignment="1">
      <alignment horizontal="centerContinuous" vertical="center"/>
    </xf>
    <xf numFmtId="169" fontId="37" fillId="16" borderId="6" xfId="0" applyNumberFormat="1" applyFont="1" applyFill="1" applyBorder="1" applyAlignment="1">
      <alignment horizontal="centerContinuous" vertical="center"/>
    </xf>
    <xf numFmtId="0" fontId="37" fillId="16" borderId="4" xfId="0" applyFont="1" applyFill="1" applyBorder="1" applyAlignment="1">
      <alignment horizontal="left" vertical="center"/>
    </xf>
    <xf numFmtId="169" fontId="37" fillId="16" borderId="5" xfId="0" applyNumberFormat="1" applyFont="1" applyFill="1" applyBorder="1" applyAlignment="1">
      <alignment horizontal="left" vertical="center"/>
    </xf>
    <xf numFmtId="0" fontId="37" fillId="16" borderId="5" xfId="0" applyFont="1" applyFill="1" applyBorder="1" applyAlignment="1">
      <alignment horizontal="left" vertical="center"/>
    </xf>
    <xf numFmtId="169" fontId="37" fillId="16" borderId="6" xfId="0" applyNumberFormat="1" applyFont="1" applyFill="1" applyBorder="1" applyAlignment="1">
      <alignment vertical="center"/>
    </xf>
    <xf numFmtId="0" fontId="37" fillId="17" borderId="4" xfId="0" applyFont="1" applyFill="1" applyBorder="1" applyAlignment="1">
      <alignment horizontal="centerContinuous" vertical="center"/>
    </xf>
    <xf numFmtId="169" fontId="37" fillId="17" borderId="5" xfId="0" applyNumberFormat="1" applyFont="1" applyFill="1" applyBorder="1" applyAlignment="1">
      <alignment horizontal="centerContinuous" vertical="center"/>
    </xf>
    <xf numFmtId="0" fontId="37" fillId="17" borderId="5" xfId="0" applyFont="1" applyFill="1" applyBorder="1" applyAlignment="1">
      <alignment horizontal="centerContinuous" vertical="center"/>
    </xf>
    <xf numFmtId="169" fontId="37" fillId="17" borderId="6" xfId="0" applyNumberFormat="1" applyFont="1" applyFill="1" applyBorder="1" applyAlignment="1">
      <alignment horizontal="centerContinuous" vertical="center"/>
    </xf>
    <xf numFmtId="0" fontId="37" fillId="17" borderId="4" xfId="0" applyFont="1" applyFill="1" applyBorder="1" applyAlignment="1">
      <alignment horizontal="left" vertical="center"/>
    </xf>
    <xf numFmtId="169" fontId="37" fillId="17" borderId="5" xfId="0" applyNumberFormat="1" applyFont="1" applyFill="1" applyBorder="1" applyAlignment="1">
      <alignment horizontal="left" vertical="center"/>
    </xf>
    <xf numFmtId="0" fontId="37" fillId="17" borderId="5" xfId="0" applyFont="1" applyFill="1" applyBorder="1" applyAlignment="1">
      <alignment horizontal="left" vertical="center"/>
    </xf>
    <xf numFmtId="169" fontId="37" fillId="17" borderId="6" xfId="0" applyNumberFormat="1" applyFont="1" applyFill="1" applyBorder="1" applyAlignment="1">
      <alignment vertical="center"/>
    </xf>
    <xf numFmtId="0" fontId="37" fillId="18" borderId="4" xfId="0" applyFont="1" applyFill="1" applyBorder="1" applyAlignment="1">
      <alignment horizontal="centerContinuous" vertical="center"/>
    </xf>
    <xf numFmtId="169" fontId="37" fillId="18" borderId="5" xfId="0" applyNumberFormat="1" applyFont="1" applyFill="1" applyBorder="1" applyAlignment="1">
      <alignment horizontal="centerContinuous" vertical="center"/>
    </xf>
    <xf numFmtId="0" fontId="37" fillId="18" borderId="5" xfId="0" applyFont="1" applyFill="1" applyBorder="1" applyAlignment="1">
      <alignment horizontal="centerContinuous" vertical="center"/>
    </xf>
    <xf numFmtId="169" fontId="37" fillId="18" borderId="6" xfId="0" applyNumberFormat="1" applyFont="1" applyFill="1" applyBorder="1" applyAlignment="1">
      <alignment horizontal="centerContinuous" vertical="center"/>
    </xf>
    <xf numFmtId="0" fontId="37" fillId="18" borderId="4" xfId="0" applyFont="1" applyFill="1" applyBorder="1" applyAlignment="1">
      <alignment horizontal="left" vertical="center"/>
    </xf>
    <xf numFmtId="169" fontId="37" fillId="18" borderId="5" xfId="0" applyNumberFormat="1" applyFont="1" applyFill="1" applyBorder="1" applyAlignment="1">
      <alignment horizontal="left" vertical="center"/>
    </xf>
    <xf numFmtId="0" fontId="37" fillId="18" borderId="5" xfId="0" applyFont="1" applyFill="1" applyBorder="1" applyAlignment="1">
      <alignment horizontal="left" vertical="center"/>
    </xf>
    <xf numFmtId="169" fontId="37" fillId="18" borderId="6" xfId="0" applyNumberFormat="1" applyFont="1" applyFill="1" applyBorder="1" applyAlignment="1">
      <alignment vertical="center"/>
    </xf>
    <xf numFmtId="0" fontId="0" fillId="0" borderId="8" xfId="0" applyBorder="1"/>
    <xf numFmtId="0" fontId="25" fillId="0" borderId="11" xfId="0" applyFont="1" applyBorder="1"/>
    <xf numFmtId="0" fontId="21" fillId="0" borderId="8" xfId="0" applyFont="1" applyBorder="1" applyAlignment="1">
      <alignment horizontal="left" vertical="center"/>
    </xf>
    <xf numFmtId="169" fontId="25" fillId="0" borderId="11" xfId="0" applyNumberFormat="1" applyFont="1" applyBorder="1"/>
    <xf numFmtId="0" fontId="0" fillId="0" borderId="11" xfId="0" applyBorder="1"/>
    <xf numFmtId="0" fontId="27" fillId="0" borderId="9" xfId="0" applyFont="1" applyBorder="1" applyAlignment="1">
      <alignment vertical="center"/>
    </xf>
    <xf numFmtId="0" fontId="25" fillId="0" borderId="10" xfId="0" applyFont="1" applyBorder="1" applyAlignment="1">
      <alignment vertical="center"/>
    </xf>
    <xf numFmtId="0" fontId="3" fillId="2" borderId="0" xfId="0" applyFont="1" applyFill="1" applyAlignment="1" applyProtection="1">
      <alignment horizontal="center" vertical="center"/>
      <protection locked="0"/>
    </xf>
    <xf numFmtId="0" fontId="3" fillId="3" borderId="5" xfId="0" applyFont="1" applyFill="1" applyBorder="1" applyAlignment="1" applyProtection="1">
      <alignment horizontal="center" vertical="center"/>
      <protection locked="0"/>
    </xf>
    <xf numFmtId="0" fontId="16" fillId="4" borderId="0" xfId="0" applyFont="1" applyFill="1" applyAlignment="1">
      <alignment horizontal="left" vertical="center"/>
    </xf>
    <xf numFmtId="165" fontId="16" fillId="4" borderId="0" xfId="0" applyNumberFormat="1" applyFont="1" applyFill="1" applyAlignment="1">
      <alignment horizontal="left" vertical="center"/>
    </xf>
    <xf numFmtId="0" fontId="41" fillId="0" borderId="0" xfId="0" applyFont="1"/>
    <xf numFmtId="0" fontId="22" fillId="15" borderId="3" xfId="0" applyFont="1" applyFill="1" applyBorder="1" applyAlignment="1" applyProtection="1">
      <alignment horizontal="center" vertical="center"/>
      <protection locked="0"/>
    </xf>
    <xf numFmtId="0" fontId="41" fillId="0" borderId="0" xfId="0" applyFont="1" applyAlignment="1">
      <alignment horizontal="left" vertical="center" indent="2"/>
    </xf>
    <xf numFmtId="0" fontId="38" fillId="0" borderId="8" xfId="0" applyFont="1" applyBorder="1" applyAlignment="1">
      <alignment horizontal="left" vertical="center"/>
    </xf>
    <xf numFmtId="169" fontId="39" fillId="19" borderId="3" xfId="0" applyNumberFormat="1" applyFont="1" applyFill="1" applyBorder="1" applyAlignment="1" applyProtection="1">
      <alignment horizontal="center"/>
      <protection locked="0"/>
    </xf>
    <xf numFmtId="0" fontId="40" fillId="0" borderId="0" xfId="0" applyFont="1" applyAlignment="1">
      <alignment horizontal="left" indent="2"/>
    </xf>
    <xf numFmtId="0" fontId="43" fillId="0" borderId="0" xfId="0" applyFont="1" applyAlignment="1">
      <alignment horizontal="left" vertical="center"/>
    </xf>
    <xf numFmtId="0" fontId="42" fillId="0" borderId="0" xfId="0" applyFont="1" applyAlignment="1">
      <alignment horizontal="left" vertical="center"/>
    </xf>
    <xf numFmtId="0" fontId="42" fillId="0" borderId="0" xfId="0" applyFont="1"/>
    <xf numFmtId="0" fontId="43" fillId="0" borderId="0" xfId="0" applyFont="1"/>
    <xf numFmtId="0" fontId="44" fillId="20" borderId="0" xfId="0" applyFont="1" applyFill="1" applyAlignment="1">
      <alignment horizontal="left" vertical="center" wrapText="1"/>
    </xf>
    <xf numFmtId="0" fontId="43" fillId="21" borderId="0" xfId="0" applyFont="1" applyFill="1" applyAlignment="1">
      <alignment horizontal="left" vertical="center" wrapText="1"/>
    </xf>
    <xf numFmtId="0" fontId="43" fillId="21" borderId="0" xfId="0" applyFont="1" applyFill="1" applyAlignment="1">
      <alignment horizontal="left" vertical="center"/>
    </xf>
    <xf numFmtId="0" fontId="43" fillId="21" borderId="0" xfId="0" applyFont="1" applyFill="1"/>
    <xf numFmtId="0" fontId="45" fillId="20" borderId="0" xfId="0" applyFont="1" applyFill="1" applyAlignment="1">
      <alignment horizontal="left" vertical="center"/>
    </xf>
    <xf numFmtId="0" fontId="45" fillId="20" borderId="0" xfId="0" applyFont="1" applyFill="1"/>
    <xf numFmtId="0" fontId="16" fillId="22" borderId="0" xfId="0" applyFont="1" applyFill="1" applyAlignment="1" applyProtection="1">
      <alignment horizontal="left" vertical="center"/>
      <protection locked="0"/>
    </xf>
    <xf numFmtId="0" fontId="1" fillId="22" borderId="0" xfId="0" applyFont="1" applyFill="1" applyAlignment="1" applyProtection="1">
      <alignment horizontal="left" vertical="center"/>
      <protection locked="0"/>
    </xf>
    <xf numFmtId="0" fontId="1" fillId="22" borderId="0" xfId="0" applyFont="1" applyFill="1" applyProtection="1">
      <protection locked="0"/>
    </xf>
    <xf numFmtId="3" fontId="46" fillId="23" borderId="0" xfId="0" applyNumberFormat="1" applyFont="1" applyFill="1" applyAlignment="1" applyProtection="1">
      <alignment horizontal="left" vertical="center"/>
      <protection locked="0"/>
    </xf>
    <xf numFmtId="165" fontId="46" fillId="23" borderId="0" xfId="0" applyNumberFormat="1" applyFont="1" applyFill="1" applyAlignment="1" applyProtection="1">
      <alignment horizontal="left" vertical="center"/>
      <protection locked="0"/>
    </xf>
    <xf numFmtId="0" fontId="46" fillId="23" borderId="0" xfId="0" applyFont="1" applyFill="1" applyAlignment="1" applyProtection="1">
      <alignment horizontal="left" vertical="center"/>
      <protection locked="0"/>
    </xf>
    <xf numFmtId="0" fontId="3" fillId="2" borderId="5" xfId="0" applyFont="1" applyFill="1" applyBorder="1" applyAlignment="1">
      <alignment horizontal="center" vertical="center"/>
    </xf>
    <xf numFmtId="0" fontId="48" fillId="2" borderId="0" xfId="0" applyFont="1" applyFill="1"/>
    <xf numFmtId="0" fontId="49" fillId="2" borderId="0" xfId="0" applyFont="1" applyFill="1"/>
    <xf numFmtId="0" fontId="47" fillId="2" borderId="0" xfId="0" applyFont="1" applyFill="1"/>
    <xf numFmtId="0" fontId="50" fillId="2" borderId="0" xfId="0" applyFont="1" applyFill="1"/>
    <xf numFmtId="0" fontId="51" fillId="2" borderId="0" xfId="0" applyFont="1" applyFill="1"/>
    <xf numFmtId="0" fontId="52" fillId="2" borderId="0" xfId="0" applyFont="1" applyFill="1"/>
  </cellXfs>
  <cellStyles count="1">
    <cellStyle name="Normal" xfId="0" builtinId="0"/>
  </cellStyles>
  <dxfs count="25">
    <dxf>
      <fill>
        <patternFill patternType="solid">
          <fgColor rgb="FFFDE8D0"/>
          <bgColor rgb="FFFDE8D0"/>
        </patternFill>
      </fill>
    </dxf>
    <dxf>
      <font>
        <b/>
        <sz val="10"/>
        <color rgb="FFFFFFFF"/>
        <name val="Arial"/>
        <charset val="1"/>
      </font>
      <fill>
        <patternFill>
          <bgColor rgb="FF2E7D32"/>
        </patternFill>
      </fill>
    </dxf>
    <dxf>
      <fill>
        <patternFill patternType="solid">
          <fgColor rgb="FFFDE8D0"/>
          <bgColor rgb="FFFDE8D0"/>
        </patternFill>
      </fill>
    </dxf>
    <dxf>
      <fill>
        <patternFill patternType="solid">
          <fgColor rgb="FFFDE8D0"/>
          <bgColor rgb="FFFDE8D0"/>
        </patternFill>
      </fill>
    </dxf>
    <dxf>
      <fill>
        <patternFill patternType="solid">
          <fgColor rgb="FFFDE8D0"/>
          <bgColor rgb="FFFDE8D0"/>
        </patternFill>
      </fill>
    </dxf>
    <dxf>
      <font>
        <b/>
        <sz val="10"/>
        <color rgb="FFFFFFFF"/>
        <name val="Arial"/>
        <charset val="1"/>
      </font>
      <fill>
        <patternFill>
          <bgColor rgb="FFC62828"/>
        </patternFill>
      </fill>
    </dxf>
    <dxf>
      <font>
        <b/>
        <sz val="10"/>
        <color rgb="FFFFFFFF"/>
        <name val="Arial"/>
        <charset val="1"/>
      </font>
      <fill>
        <patternFill>
          <bgColor rgb="FF2E7D32"/>
        </patternFill>
      </fill>
    </dxf>
    <dxf>
      <font>
        <b/>
        <sz val="10"/>
        <color rgb="FFFFFFFF"/>
        <name val="Arial"/>
        <charset val="1"/>
      </font>
      <fill>
        <patternFill>
          <bgColor rgb="FFC62828"/>
        </patternFill>
      </fill>
    </dxf>
    <dxf>
      <font>
        <b/>
        <sz val="10"/>
        <color rgb="FFFFFFFF"/>
        <name val="Arial"/>
        <charset val="1"/>
      </font>
      <fill>
        <patternFill>
          <bgColor rgb="FF2E7D32"/>
        </patternFill>
      </fill>
    </dxf>
    <dxf>
      <font>
        <b/>
        <sz val="10"/>
        <color rgb="FFFFFFFF"/>
        <name val="Arial"/>
        <charset val="1"/>
      </font>
      <fill>
        <patternFill>
          <bgColor rgb="FFC62828"/>
        </patternFill>
      </fill>
    </dxf>
    <dxf>
      <font>
        <b/>
        <sz val="10"/>
        <color rgb="FFFFFFFF"/>
        <name val="Arial"/>
        <charset val="1"/>
      </font>
      <fill>
        <patternFill>
          <bgColor rgb="FF2E7D32"/>
        </patternFill>
      </fill>
    </dxf>
    <dxf>
      <font>
        <b/>
        <sz val="10"/>
        <color rgb="FFFFFFFF"/>
        <name val="Arial"/>
        <charset val="1"/>
      </font>
      <fill>
        <patternFill>
          <bgColor rgb="FFC62828"/>
        </patternFill>
      </fill>
    </dxf>
    <dxf>
      <font>
        <b/>
        <sz val="10"/>
        <color rgb="FFFFFFFF"/>
        <name val="Arial"/>
        <charset val="1"/>
      </font>
      <fill>
        <patternFill>
          <bgColor rgb="FF2E7D32"/>
        </patternFill>
      </fill>
    </dxf>
    <dxf>
      <font>
        <b/>
        <sz val="10"/>
        <color rgb="FFFFFFFF"/>
        <name val="Arial"/>
        <charset val="1"/>
      </font>
      <fill>
        <patternFill>
          <bgColor rgb="FFC62828"/>
        </patternFill>
      </fill>
    </dxf>
    <dxf>
      <font>
        <b/>
        <sz val="10"/>
        <color rgb="FFFFFFFF"/>
        <name val="Arial"/>
        <charset val="1"/>
      </font>
      <fill>
        <patternFill>
          <bgColor rgb="FF2E7D32"/>
        </patternFill>
      </fill>
    </dxf>
    <dxf>
      <font>
        <b/>
        <sz val="10"/>
        <color rgb="FFFFFFFF"/>
        <name val="Arial"/>
        <charset val="1"/>
      </font>
      <fill>
        <patternFill>
          <bgColor rgb="FFC62828"/>
        </patternFill>
      </fill>
    </dxf>
    <dxf>
      <font>
        <b/>
        <sz val="10"/>
        <color rgb="FFFFFFFF"/>
        <name val="Arial"/>
        <charset val="1"/>
      </font>
      <fill>
        <patternFill>
          <bgColor rgb="FF2E7D32"/>
        </patternFill>
      </fill>
    </dxf>
    <dxf>
      <font>
        <b/>
        <sz val="10"/>
        <color rgb="FFFFFFFF"/>
        <name val="Arial"/>
        <charset val="1"/>
      </font>
      <fill>
        <patternFill>
          <bgColor rgb="FFC62828"/>
        </patternFill>
      </fill>
    </dxf>
    <dxf>
      <font>
        <b/>
        <sz val="10"/>
        <color rgb="FFFFFFFF"/>
        <name val="Arial"/>
        <charset val="1"/>
      </font>
      <fill>
        <patternFill>
          <bgColor rgb="FF2E7D32"/>
        </patternFill>
      </fill>
    </dxf>
    <dxf>
      <font>
        <b/>
        <sz val="10"/>
        <color rgb="FFFFFFFF"/>
        <name val="Arial"/>
        <charset val="1"/>
      </font>
      <fill>
        <patternFill>
          <bgColor rgb="FFC62828"/>
        </patternFill>
      </fill>
    </dxf>
    <dxf>
      <font>
        <b/>
        <sz val="10"/>
        <color rgb="FFFFFFFF"/>
        <name val="Arial"/>
        <charset val="1"/>
      </font>
      <fill>
        <patternFill>
          <bgColor rgb="FF2E7D32"/>
        </patternFill>
      </fill>
    </dxf>
    <dxf>
      <font>
        <b/>
        <sz val="10"/>
        <color rgb="FFFFFFFF"/>
        <name val="Arial"/>
        <charset val="1"/>
      </font>
      <fill>
        <patternFill>
          <bgColor rgb="FFC62828"/>
        </patternFill>
      </fill>
    </dxf>
    <dxf>
      <font>
        <b/>
        <sz val="10"/>
        <color rgb="FFFFFFFF"/>
        <name val="Arial"/>
        <charset val="1"/>
      </font>
      <fill>
        <patternFill>
          <bgColor rgb="FF2E7D32"/>
        </patternFill>
      </fill>
    </dxf>
    <dxf>
      <font>
        <b/>
        <sz val="10"/>
        <color rgb="FFFFFFFF"/>
        <name val="Arial"/>
        <charset val="1"/>
      </font>
      <fill>
        <patternFill>
          <bgColor rgb="FFC62828"/>
        </patternFill>
      </fill>
    </dxf>
    <dxf>
      <font>
        <b/>
        <sz val="10"/>
        <color rgb="FFFFFFFF"/>
        <name val="Arial"/>
        <charset val="1"/>
      </font>
      <fill>
        <patternFill>
          <bgColor rgb="FF2E7D32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BBBBB"/>
      <rgbColor rgb="FF808080"/>
      <rgbColor rgb="FFAAAAAA"/>
      <rgbColor rgb="FF4A4A4A"/>
      <rgbColor rgb="FFF5F5F0"/>
      <rgbColor rgb="FFEEEEEE"/>
      <rgbColor rgb="FF660066"/>
      <rgbColor rgb="FFFF8080"/>
      <rgbColor rgb="FF1565C0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F2F2F2"/>
      <rgbColor rgb="FFE0E0E0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E87722"/>
      <rgbColor rgb="FF666666"/>
      <rgbColor rgb="FF999999"/>
      <rgbColor rgb="FF1B2A4A"/>
      <rgbColor rgb="FF2E7D32"/>
      <rgbColor rgb="FF003300"/>
      <rgbColor rgb="FF3A3A3A"/>
      <rgbColor rgb="FFC62828"/>
      <rgbColor rgb="FF993366"/>
      <rgbColor rgb="FF253755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</a:majorFont>
      <a:minorFont>
        <a:latin typeface="Calibri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0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E42EAA48-40E7-4E4C-B863-3094D6DE6ED3}">
  <we:reference id="wa200009404" version="1.0.0.8" store="en-US" storeType="OMEX"/>
  <we:alternateReferences>
    <we:reference id="WA200009404" version="1.0.0.8" store="" storeType="OMEX"/>
  </we:alternateReferences>
  <we:properties>
    <we:property name="Office.AutoShowTaskpaneWithDocument" value="true"/>
  </we:properties>
  <we:bindings/>
  <we:snapshot xmlns:r="http://schemas.openxmlformats.org/officeDocument/2006/relationships"/>
</we:webextension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 tint="0.34998626667073579"/>
  </sheetPr>
  <dimension ref="A1:GJ501"/>
  <sheetViews>
    <sheetView showGridLines="0" zoomScaleNormal="100" workbookViewId="0">
      <pane ySplit="3" topLeftCell="A8" activePane="bottomLeft" state="frozen"/>
      <selection pane="bottomLeft" activeCell="H14" sqref="H14"/>
    </sheetView>
  </sheetViews>
  <sheetFormatPr baseColWidth="10" defaultColWidth="8.83203125" defaultRowHeight="20" customHeight="1" x14ac:dyDescent="0.2"/>
  <cols>
    <col min="1" max="1" width="2" customWidth="1"/>
    <col min="2" max="2" width="4" customWidth="1"/>
    <col min="3" max="3" width="32" customWidth="1"/>
    <col min="4" max="4" width="14" customWidth="1"/>
    <col min="5" max="5" width="46" customWidth="1"/>
    <col min="6" max="6" width="8.83203125" customWidth="1"/>
  </cols>
  <sheetData>
    <row r="1" spans="1:192" ht="20" customHeight="1" thickBot="1" x14ac:dyDescent="0.25">
      <c r="A1" s="2"/>
      <c r="B1" s="2"/>
      <c r="C1" s="2"/>
      <c r="D1" s="2"/>
      <c r="E1" s="2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</row>
    <row r="2" spans="1:192" ht="20" customHeight="1" thickBot="1" x14ac:dyDescent="0.25">
      <c r="A2" s="2"/>
      <c r="B2" s="42" t="s">
        <v>0</v>
      </c>
      <c r="C2" s="43"/>
      <c r="D2" s="43"/>
      <c r="E2" s="4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</row>
    <row r="3" spans="1:192" ht="20" customHeight="1" x14ac:dyDescent="0.2">
      <c r="A3" s="2"/>
      <c r="B3" s="8"/>
      <c r="C3" s="9" t="s">
        <v>1</v>
      </c>
      <c r="D3" s="8"/>
      <c r="E3" s="8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</row>
    <row r="4" spans="1:192" ht="20" customHeight="1" thickBot="1" x14ac:dyDescent="0.25">
      <c r="A4" s="2"/>
      <c r="B4" s="8"/>
      <c r="C4" s="8"/>
      <c r="D4" s="8"/>
      <c r="E4" s="8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</row>
    <row r="5" spans="1:192" ht="20" customHeight="1" thickBot="1" x14ac:dyDescent="0.25">
      <c r="A5" s="2"/>
      <c r="B5" s="42" t="s">
        <v>2</v>
      </c>
      <c r="C5" s="46"/>
      <c r="D5" s="46"/>
      <c r="E5" s="47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</row>
    <row r="6" spans="1:192" ht="20" customHeight="1" thickBot="1" x14ac:dyDescent="0.25">
      <c r="A6" s="2"/>
      <c r="B6" s="8"/>
      <c r="C6" s="8" t="s">
        <v>3</v>
      </c>
      <c r="D6" s="45" t="str">
        <f>IF(Client_Info!D5&lt;&gt;"","PASS","FAIL")</f>
        <v>PASS</v>
      </c>
      <c r="E6" s="39" t="str">
        <f>IF(D6="PASS","Client: "&amp;Client_Info!D5,"Enter on Client_Info")</f>
        <v>Client: Rivara Foundation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</row>
    <row r="7" spans="1:192" ht="20" customHeight="1" thickBot="1" x14ac:dyDescent="0.25">
      <c r="A7" s="2"/>
      <c r="B7" s="8"/>
      <c r="C7" s="8" t="s">
        <v>4</v>
      </c>
      <c r="D7" s="33" t="str">
        <f>IF(Client_Info!D13&gt;0,"PASS","FAIL")</f>
        <v>PASS</v>
      </c>
      <c r="E7" s="39" t="str">
        <f>IF(D7="PASS","NAV: $"&amp;TEXT(Client_Info!D13,"#,##0"),"Enter on Client_Info")</f>
        <v>NAV: $850,000,000</v>
      </c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</row>
    <row r="8" spans="1:192" ht="20" customHeight="1" thickBot="1" x14ac:dyDescent="0.25">
      <c r="A8" s="2"/>
      <c r="B8" s="8"/>
      <c r="C8" s="8" t="s">
        <v>5</v>
      </c>
      <c r="D8" s="33" t="str">
        <f>IF(AND(Client_Info!D14&lt;&gt;"",Client_Info!D15&lt;&gt;""),"PASS","FAIL")</f>
        <v>PASS</v>
      </c>
      <c r="E8" s="39" t="str">
        <f>IF(D8="PASS",TEXT(Client_Info!D14,"MMM YYYY")&amp;" – "&amp;TEXT(Client_Info!D15,"MMM YYYY"),"Set on Client_Info")</f>
        <v>Jan 2016 – Dec 2025</v>
      </c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</row>
    <row r="9" spans="1:192" ht="20" customHeight="1" thickBot="1" x14ac:dyDescent="0.25">
      <c r="A9" s="2"/>
      <c r="B9" s="8"/>
      <c r="C9" s="8"/>
      <c r="D9" s="8"/>
      <c r="E9" s="39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</row>
    <row r="10" spans="1:192" ht="20" customHeight="1" thickBot="1" x14ac:dyDescent="0.25">
      <c r="A10" s="2"/>
      <c r="B10" s="42" t="s">
        <v>6</v>
      </c>
      <c r="C10" s="46"/>
      <c r="D10" s="46"/>
      <c r="E10" s="48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</row>
    <row r="11" spans="1:192" ht="20" customHeight="1" thickBot="1" x14ac:dyDescent="0.25">
      <c r="A11" s="2"/>
      <c r="B11" s="8"/>
      <c r="C11" s="8" t="s">
        <v>7</v>
      </c>
      <c r="D11" s="45" t="str">
        <f>IF(COUNTIF(Client_Portfolio!F6:F55,"&lt;&gt;")&gt;0,"PASS","FAIL")</f>
        <v>PASS</v>
      </c>
      <c r="E11" s="39" t="str">
        <f>IF(D11="PASS",COUNTIF(Client_Portfolio!F6:F55,"&lt;&gt;")&amp;" managers","Add on Client_Portfolio")</f>
        <v>20 managers</v>
      </c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</row>
    <row r="12" spans="1:192" ht="20" customHeight="1" thickBot="1" x14ac:dyDescent="0.25">
      <c r="A12" s="2"/>
      <c r="B12" s="8"/>
      <c r="C12" s="8" t="s">
        <v>8</v>
      </c>
      <c r="D12" s="33" t="str">
        <f>IF(COUNTIF(Client_Portfolio!F6:F55,"&lt;&gt;")-COUNTIFS(Client_Portfolio!F6:F55,"&lt;&gt;",Client_Portfolio!C6:C55,"&lt;&gt;")=0,"PASS","FAIL")</f>
        <v>PASS</v>
      </c>
      <c r="E12" s="39" t="str">
        <f>IF(D12="PASS","All assigned","Some missing AC1")</f>
        <v>All assigned</v>
      </c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</row>
    <row r="13" spans="1:192" ht="20" customHeight="1" thickBot="1" x14ac:dyDescent="0.25">
      <c r="A13" s="2"/>
      <c r="B13" s="8"/>
      <c r="C13" s="8" t="s">
        <v>9</v>
      </c>
      <c r="D13" s="33" t="str">
        <f>IF(COUNTIF(Client_Portfolio!F6:F55,"&lt;&gt;")-COUNTIFS(Client_Portfolio!F6:F55,"&lt;&gt;",Client_Portfolio!G6:G55,"&lt;&gt;")=0,"PASS","FAIL")</f>
        <v>PASS</v>
      </c>
      <c r="E13" s="39" t="str">
        <f>IF(D13="PASS","All assigned","Some missing benchmark")</f>
        <v>All assigned</v>
      </c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</row>
    <row r="14" spans="1:192" ht="20" customHeight="1" thickBot="1" x14ac:dyDescent="0.25">
      <c r="A14" s="2"/>
      <c r="B14" s="8"/>
      <c r="C14" s="8" t="s">
        <v>10</v>
      </c>
      <c r="D14" s="33" t="str">
        <f>IF(SUMPRODUCT((COUNTIF(Client_Portfolio!F6:F55,Client_Portfolio!F6:F55)&gt;1)*(COUNTIF(Client_Portfolio!F6:F55,"&lt;&gt;")))=0,"PASS","FAIL")</f>
        <v>PASS</v>
      </c>
      <c r="E14" s="39" t="str">
        <f>IF(D14="PASS","All unique","Duplicates found")</f>
        <v>All unique</v>
      </c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</row>
    <row r="15" spans="1:192" ht="20" customHeight="1" thickBot="1" x14ac:dyDescent="0.25">
      <c r="A15" s="2"/>
      <c r="B15" s="8"/>
      <c r="C15" s="8"/>
      <c r="D15" s="8"/>
      <c r="E15" s="39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</row>
    <row r="16" spans="1:192" ht="20" customHeight="1" thickBot="1" x14ac:dyDescent="0.25">
      <c r="A16" s="2"/>
      <c r="B16" s="42" t="s">
        <v>11</v>
      </c>
      <c r="C16" s="46"/>
      <c r="D16" s="46"/>
      <c r="E16" s="48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</row>
    <row r="17" spans="1:192" ht="20" customHeight="1" thickBot="1" x14ac:dyDescent="0.25">
      <c r="A17" s="2"/>
      <c r="B17" s="8"/>
      <c r="C17" s="8" t="s">
        <v>12</v>
      </c>
      <c r="D17" s="45" t="str">
        <f>IF(COUNTA(Mgr_NAVs!D8:D187)&gt;0,"PASS","FAIL")</f>
        <v>PASS</v>
      </c>
      <c r="E17" s="39" t="str">
        <f>IF(D17="PASS","Data found","Enter on Mgr_NAVs")</f>
        <v>Data found</v>
      </c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</row>
    <row r="18" spans="1:192" ht="20" customHeight="1" thickBot="1" x14ac:dyDescent="0.25">
      <c r="A18" s="2"/>
      <c r="B18" s="8"/>
      <c r="C18" s="8" t="s">
        <v>13</v>
      </c>
      <c r="D18" s="33" t="s">
        <v>14</v>
      </c>
      <c r="E18" s="39" t="s">
        <v>15</v>
      </c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</row>
    <row r="19" spans="1:192" ht="20" customHeight="1" thickBot="1" x14ac:dyDescent="0.25">
      <c r="A19" s="2"/>
      <c r="B19" s="8"/>
      <c r="C19" s="8" t="s">
        <v>16</v>
      </c>
      <c r="D19" s="33" t="str">
        <f>IF(COUNTA(Mgr_Returns!D8:D187)&gt;0,"PASS","FAIL")</f>
        <v>PASS</v>
      </c>
      <c r="E19" s="39" t="str">
        <f>IF(D19="PASS","Data found","Enter on Mgr_Returns")</f>
        <v>Data found</v>
      </c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</row>
    <row r="20" spans="1:192" ht="20" customHeight="1" thickBot="1" x14ac:dyDescent="0.25">
      <c r="A20" s="2"/>
      <c r="B20" s="8"/>
      <c r="C20" s="8" t="s">
        <v>17</v>
      </c>
      <c r="D20" s="33" t="str">
        <f>IF(COUNTA(Bench_Returns!D8:D187)&gt;0,"PASS","FAIL")</f>
        <v>PASS</v>
      </c>
      <c r="E20" s="39" t="str">
        <f>IF(D20="PASS","Data found","Enter on Bench_Returns")</f>
        <v>Data found</v>
      </c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</row>
    <row r="21" spans="1:192" ht="20" customHeight="1" thickBot="1" x14ac:dyDescent="0.25">
      <c r="A21" s="2"/>
      <c r="B21" s="8"/>
      <c r="C21" s="8" t="s">
        <v>18</v>
      </c>
      <c r="D21" s="33" t="str">
        <f>IF(COUNTA(Policy_Returns!G8:G187)&gt;0,"PASS","FAIL")</f>
        <v>PASS</v>
      </c>
      <c r="E21" s="39" t="str">
        <f>IF(D21="PASS","Data found","Enter policy benchmark returns")</f>
        <v>Data found</v>
      </c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</row>
    <row r="22" spans="1:192" ht="20" customHeight="1" thickBot="1" x14ac:dyDescent="0.25">
      <c r="A22" s="2"/>
      <c r="B22" s="10"/>
      <c r="C22" s="54" t="s">
        <v>12</v>
      </c>
      <c r="D22" s="33" t="s">
        <v>14</v>
      </c>
      <c r="E22" s="55" t="s">
        <v>19</v>
      </c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</row>
    <row r="23" spans="1:192" ht="20" customHeight="1" thickBot="1" x14ac:dyDescent="0.25">
      <c r="A23" s="2"/>
      <c r="B23" s="10"/>
      <c r="C23" s="54"/>
      <c r="D23" s="144"/>
      <c r="E23" s="55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</row>
    <row r="24" spans="1:192" ht="20" customHeight="1" thickBot="1" x14ac:dyDescent="0.25">
      <c r="A24" s="2"/>
      <c r="B24" s="42" t="s">
        <v>20</v>
      </c>
      <c r="C24" s="46"/>
      <c r="D24" s="46"/>
      <c r="E24" s="48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</row>
    <row r="25" spans="1:192" ht="20" customHeight="1" thickBot="1" x14ac:dyDescent="0.25">
      <c r="A25" s="2"/>
      <c r="B25" s="8"/>
      <c r="C25" s="8" t="s">
        <v>21</v>
      </c>
      <c r="D25" s="45" t="str">
        <f>IF(COUNTA(Policy_Setup!E16:E35)&gt;0,"PASS","FAIL")</f>
        <v>PASS</v>
      </c>
      <c r="E25" s="39" t="str">
        <f>IF(D25="PASS","Block 1 has benchmarks defined","Define Block 1 on Policy_Setup")</f>
        <v>Block 1 has benchmarks defined</v>
      </c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</row>
    <row r="26" spans="1:192" ht="20" customHeight="1" thickBot="1" x14ac:dyDescent="0.25">
      <c r="A26" s="2"/>
      <c r="B26" s="8"/>
      <c r="C26" s="8" t="s">
        <v>22</v>
      </c>
      <c r="D26" s="33" t="str">
        <f>IF(AND(Policy_Setup!D36&gt;=0.95,Policy_Setup!D36&lt;=1.05),"PASS","FAIL")</f>
        <v>PASS</v>
      </c>
      <c r="E26" s="39" t="str">
        <f>IF(D26="PASS","Sum: "&amp;TEXT(Policy_Setup!D36,"0.0%"),"Adjust targets on Policy_Setup")</f>
        <v>Sum: 100.0%</v>
      </c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</row>
    <row r="27" spans="1:192" ht="20" customHeight="1" thickBot="1" x14ac:dyDescent="0.25">
      <c r="A27" s="2"/>
      <c r="B27" s="8"/>
      <c r="C27" s="8" t="s">
        <v>23</v>
      </c>
      <c r="D27" s="33" t="str">
        <f>IF(OR(Policy_Setup!C13="Yes",COUNTA(Policy_Setup!E16:E35)&gt;0),"PASS","FAIL")</f>
        <v>PASS</v>
      </c>
      <c r="E27" s="39" t="str">
        <f>IF(D27="PASS","Policy benchmark can be computed","Define benchmarks or set DIRECT=Yes")</f>
        <v>Policy benchmark can be computed</v>
      </c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</row>
    <row r="28" spans="1:192" ht="20" customHeight="1" thickBot="1" x14ac:dyDescent="0.25">
      <c r="A28" s="2"/>
      <c r="B28" s="8"/>
      <c r="C28" s="8" t="s">
        <v>24</v>
      </c>
      <c r="D28" s="33" t="str">
        <f>IF(AND(OR(Policy_Setup!C46="Yes",COUNTA(Policy_Setup!E49:E68)=0,AND(Policy_Setup!D69&gt;=0.95,Policy_Setup!D69&lt;=1.05)),OR(Policy_Setup!C79="Yes",COUNTA(Policy_Setup!E82:E101)=0,AND(Policy_Setup!D102&gt;=0.95,Policy_Setup!D102&lt;=1.05))),"PASS","FAIL")</f>
        <v>PASS</v>
      </c>
      <c r="E28" s="39" t="str">
        <f>IF(D28="PASS","Alternate benchmarks valid","Check Block 2-3 weights on Policy_Setup")</f>
        <v>Alternate benchmarks valid</v>
      </c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</row>
    <row r="29" spans="1:192" ht="20" customHeight="1" thickBot="1" x14ac:dyDescent="0.25">
      <c r="A29" s="2"/>
      <c r="B29" s="10"/>
      <c r="C29" s="10"/>
      <c r="D29" s="10"/>
      <c r="E29" s="40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</row>
    <row r="30" spans="1:192" ht="20" customHeight="1" thickBot="1" x14ac:dyDescent="0.25">
      <c r="A30" s="2"/>
      <c r="B30" s="42" t="s">
        <v>25</v>
      </c>
      <c r="C30" s="46"/>
      <c r="D30" s="46"/>
      <c r="E30" s="48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</row>
    <row r="31" spans="1:192" ht="20" customHeight="1" thickBot="1" x14ac:dyDescent="0.25">
      <c r="A31" s="2"/>
      <c r="B31" s="8"/>
      <c r="C31" s="11" t="s">
        <v>26</v>
      </c>
      <c r="D31" s="49" t="str">
        <f>IF(COUNTIF(D6:D8,"FAIL")+COUNTIF(D11:D14,"FAIL")+COUNTIF(D17:D21,"FAIL")+COUNTIF(D25:D28,"FAIL")=0,"READY","NOT READY")</f>
        <v>READY</v>
      </c>
      <c r="E31" s="39" t="str">
        <f>IF(D31="READY","All checks passed — ready for upload",COUNTIF(D6:D8,"FAIL")+COUNTIF(D11:D14,"FAIL")+COUNTIF(D17:D21,"FAIL")+COUNTIF(D25:D28,"FAIL")&amp;" check(s) failed")</f>
        <v>All checks passed — ready for upload</v>
      </c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</row>
    <row r="32" spans="1:192" ht="20" customHeight="1" x14ac:dyDescent="0.2">
      <c r="A32" s="2"/>
      <c r="B32" s="2"/>
      <c r="C32" s="2"/>
      <c r="D32" s="2"/>
      <c r="E32" s="41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</row>
    <row r="33" spans="1:192" ht="20" customHeight="1" x14ac:dyDescent="0.2">
      <c r="A33" s="2"/>
      <c r="B33" s="2"/>
      <c r="C33" s="2"/>
      <c r="D33" s="2"/>
      <c r="E33" s="2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</row>
    <row r="34" spans="1:192" ht="20" customHeight="1" x14ac:dyDescent="0.2">
      <c r="A34" s="2"/>
      <c r="B34" s="12" t="s">
        <v>27</v>
      </c>
      <c r="C34" s="8"/>
      <c r="D34" s="8"/>
      <c r="E34" s="8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</row>
    <row r="35" spans="1:192" ht="20" customHeight="1" x14ac:dyDescent="0.2">
      <c r="A35" s="2"/>
      <c r="B35" s="2"/>
      <c r="C35" s="2"/>
      <c r="D35" s="2"/>
      <c r="E35" s="2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</row>
    <row r="36" spans="1:192" ht="20" customHeight="1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</row>
    <row r="37" spans="1:192" ht="20" customHeight="1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</row>
    <row r="38" spans="1:192" ht="20" customHeight="1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</row>
    <row r="39" spans="1:192" ht="20" customHeight="1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</row>
    <row r="40" spans="1:192" ht="20" customHeight="1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</row>
    <row r="41" spans="1:192" ht="20" customHeight="1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</row>
    <row r="42" spans="1:192" ht="20" customHeight="1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</row>
    <row r="43" spans="1:192" ht="20" customHeight="1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</row>
    <row r="44" spans="1:192" ht="20" customHeight="1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</row>
    <row r="45" spans="1:192" ht="20" customHeight="1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</row>
    <row r="46" spans="1:192" ht="20" customHeight="1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</row>
    <row r="47" spans="1:192" ht="20" customHeight="1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</row>
    <row r="48" spans="1:192" ht="20" customHeight="1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</row>
    <row r="49" spans="1:192" ht="20" customHeight="1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</row>
    <row r="50" spans="1:192" ht="20" customHeight="1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</row>
    <row r="51" spans="1:192" ht="20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</row>
    <row r="52" spans="1:192" ht="20" customHeight="1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</row>
    <row r="53" spans="1:192" ht="20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</row>
    <row r="54" spans="1:192" ht="20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</row>
    <row r="55" spans="1:192" ht="20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</row>
    <row r="56" spans="1:192" ht="20" customHeight="1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</row>
    <row r="57" spans="1:192" ht="20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</row>
    <row r="58" spans="1:192" ht="20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</row>
    <row r="59" spans="1:192" ht="20" customHeight="1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</row>
    <row r="60" spans="1:192" ht="20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</row>
    <row r="61" spans="1:192" ht="20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</row>
    <row r="62" spans="1:192" ht="20" customHeight="1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</row>
    <row r="63" spans="1:192" ht="20" customHeight="1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</row>
    <row r="64" spans="1:192" ht="20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</row>
    <row r="65" spans="1:192" ht="20" customHeight="1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</row>
    <row r="66" spans="1:192" ht="20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</row>
    <row r="67" spans="1:192" ht="20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</row>
    <row r="68" spans="1:192" ht="20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</row>
    <row r="69" spans="1:192" ht="20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</row>
    <row r="70" spans="1:192" ht="20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</row>
    <row r="71" spans="1:192" ht="20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</row>
    <row r="72" spans="1:192" ht="20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</row>
    <row r="73" spans="1:192" ht="20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</row>
    <row r="74" spans="1:192" ht="20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</row>
    <row r="75" spans="1:192" ht="20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</row>
    <row r="76" spans="1:192" ht="20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</row>
    <row r="77" spans="1:192" ht="20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</row>
    <row r="78" spans="1:192" ht="20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</row>
    <row r="79" spans="1:192" ht="20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</row>
    <row r="80" spans="1:192" ht="20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</row>
    <row r="81" spans="1:192" ht="20" customHeight="1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</row>
    <row r="82" spans="1:192" ht="20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</row>
    <row r="83" spans="1:192" ht="20" customHeight="1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</row>
    <row r="84" spans="1:192" ht="20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</row>
    <row r="85" spans="1:192" ht="20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</row>
    <row r="86" spans="1:192" ht="20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</row>
    <row r="87" spans="1:192" ht="20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</row>
    <row r="88" spans="1:192" ht="20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</row>
    <row r="89" spans="1:192" ht="20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</row>
    <row r="90" spans="1:192" ht="20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</row>
    <row r="91" spans="1:192" ht="20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</row>
    <row r="92" spans="1:192" ht="20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</row>
    <row r="93" spans="1:192" ht="20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</row>
    <row r="94" spans="1:192" ht="20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</row>
    <row r="95" spans="1:192" ht="20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</row>
    <row r="96" spans="1:192" ht="20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</row>
    <row r="97" spans="1:192" ht="20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</row>
    <row r="98" spans="1:192" ht="20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</row>
    <row r="99" spans="1:192" ht="20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</row>
    <row r="100" spans="1:192" ht="20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</row>
    <row r="101" spans="1:192" ht="20" customHeight="1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</row>
    <row r="102" spans="1:192" ht="20" customHeight="1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</row>
    <row r="103" spans="1:192" ht="20" customHeight="1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</row>
    <row r="104" spans="1:192" ht="20" customHeight="1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</row>
    <row r="105" spans="1:192" ht="20" customHeight="1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</row>
    <row r="106" spans="1:192" ht="20" customHeight="1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</row>
    <row r="107" spans="1:192" ht="20" customHeight="1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</row>
    <row r="108" spans="1:192" ht="20" customHeight="1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</row>
    <row r="109" spans="1:192" ht="20" customHeight="1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</row>
    <row r="110" spans="1:192" ht="20" customHeight="1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</row>
    <row r="111" spans="1:192" ht="20" customHeight="1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</row>
    <row r="112" spans="1:192" ht="20" customHeight="1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</row>
    <row r="113" spans="1:192" ht="20" customHeight="1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</row>
    <row r="114" spans="1:192" ht="20" customHeight="1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</row>
    <row r="115" spans="1:192" ht="20" customHeight="1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</row>
    <row r="116" spans="1:192" ht="20" customHeight="1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</row>
    <row r="117" spans="1:192" ht="20" customHeight="1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</row>
    <row r="118" spans="1:192" ht="20" customHeight="1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</row>
    <row r="119" spans="1:192" ht="20" customHeight="1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</row>
    <row r="120" spans="1:192" ht="20" customHeight="1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</row>
    <row r="121" spans="1:192" ht="20" customHeight="1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</row>
    <row r="122" spans="1:192" ht="20" customHeight="1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</row>
    <row r="123" spans="1:192" ht="20" customHeight="1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</row>
    <row r="124" spans="1:192" ht="20" customHeight="1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</row>
    <row r="125" spans="1:192" ht="20" customHeight="1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</row>
    <row r="126" spans="1:192" ht="20" customHeight="1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</row>
    <row r="127" spans="1:192" ht="20" customHeight="1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</row>
    <row r="128" spans="1:192" ht="20" customHeight="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</row>
    <row r="129" spans="1:192" ht="20" customHeight="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</row>
    <row r="130" spans="1:192" ht="20" customHeight="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</row>
    <row r="131" spans="1:192" ht="20" customHeight="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</row>
    <row r="132" spans="1:192" ht="20" customHeight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</row>
    <row r="133" spans="1:192" ht="20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</row>
    <row r="134" spans="1:192" ht="20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</row>
    <row r="135" spans="1:192" ht="20" customHeight="1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</row>
    <row r="136" spans="1:192" ht="20" customHeight="1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</row>
    <row r="137" spans="1:192" ht="20" customHeight="1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</row>
    <row r="138" spans="1:192" ht="20" customHeight="1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</row>
    <row r="139" spans="1:192" ht="20" customHeight="1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</row>
    <row r="140" spans="1:192" ht="20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</row>
    <row r="141" spans="1:192" ht="20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</row>
    <row r="142" spans="1:192" ht="20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</row>
    <row r="143" spans="1:192" ht="20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</row>
    <row r="144" spans="1:192" ht="20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</row>
    <row r="145" spans="1:192" ht="20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</row>
    <row r="146" spans="1:192" ht="20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</row>
    <row r="147" spans="1:192" ht="20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</row>
    <row r="148" spans="1:192" ht="20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</row>
    <row r="149" spans="1:192" ht="20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</row>
    <row r="150" spans="1:192" ht="20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</row>
    <row r="151" spans="1:192" ht="20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</row>
    <row r="152" spans="1:192" ht="20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</row>
    <row r="153" spans="1:192" ht="20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</row>
    <row r="154" spans="1:192" ht="20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</row>
    <row r="155" spans="1:192" ht="20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</row>
    <row r="156" spans="1:192" ht="20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</row>
    <row r="157" spans="1:192" ht="20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</row>
    <row r="158" spans="1:192" ht="20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</row>
    <row r="159" spans="1:192" ht="20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</row>
    <row r="160" spans="1:192" ht="20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</row>
    <row r="161" spans="1:192" ht="20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</row>
    <row r="162" spans="1:192" ht="20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</row>
    <row r="163" spans="1:192" ht="20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</row>
    <row r="164" spans="1:192" ht="20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</row>
    <row r="165" spans="1:192" ht="20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</row>
    <row r="166" spans="1:192" ht="20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</row>
    <row r="167" spans="1:192" ht="20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</row>
    <row r="168" spans="1:192" ht="20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</row>
    <row r="169" spans="1:192" ht="20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</row>
    <row r="170" spans="1:192" ht="20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</row>
    <row r="171" spans="1:192" ht="20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</row>
    <row r="172" spans="1:192" ht="20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</row>
    <row r="173" spans="1:192" ht="20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</row>
    <row r="174" spans="1:192" ht="20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</row>
    <row r="175" spans="1:192" ht="20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</row>
    <row r="176" spans="1:192" ht="20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</row>
    <row r="177" spans="1:192" ht="20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</row>
    <row r="178" spans="1:192" ht="20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</row>
    <row r="179" spans="1:192" ht="20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</row>
    <row r="180" spans="1:192" ht="20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</row>
    <row r="181" spans="1:192" ht="20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</row>
    <row r="182" spans="1:192" ht="20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</row>
    <row r="183" spans="1:192" ht="20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</row>
    <row r="184" spans="1:192" ht="20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</row>
    <row r="185" spans="1:192" ht="20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</row>
    <row r="186" spans="1:192" ht="20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</row>
    <row r="187" spans="1:192" ht="20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</row>
    <row r="188" spans="1:192" ht="20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</row>
    <row r="189" spans="1:192" ht="20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</row>
    <row r="190" spans="1:192" ht="20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</row>
    <row r="191" spans="1:192" ht="20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</row>
    <row r="192" spans="1:192" ht="20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</row>
    <row r="193" spans="1:192" ht="20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</row>
    <row r="194" spans="1:192" ht="20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</row>
    <row r="195" spans="1:192" ht="20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</row>
    <row r="196" spans="1:192" ht="20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</row>
    <row r="197" spans="1:192" ht="20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</row>
    <row r="198" spans="1:192" ht="20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</row>
    <row r="199" spans="1:192" ht="20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</row>
    <row r="200" spans="1:192" ht="20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</row>
    <row r="201" spans="1:192" ht="20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</row>
    <row r="202" spans="1:192" ht="20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</row>
    <row r="203" spans="1:192" ht="20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</row>
    <row r="204" spans="1:192" ht="20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</row>
    <row r="205" spans="1:192" ht="20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</row>
    <row r="206" spans="1:192" ht="20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</row>
    <row r="207" spans="1:192" ht="20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</row>
    <row r="208" spans="1:192" ht="20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</row>
    <row r="209" spans="1:192" ht="20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</row>
    <row r="210" spans="1:192" ht="20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</row>
    <row r="211" spans="1:192" ht="20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</row>
    <row r="212" spans="1:192" ht="20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</row>
    <row r="213" spans="1:192" ht="20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</row>
    <row r="214" spans="1:192" ht="20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</row>
    <row r="215" spans="1:192" ht="20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</row>
    <row r="216" spans="1:192" ht="20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</row>
    <row r="217" spans="1:192" ht="20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</row>
    <row r="218" spans="1:192" ht="20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</row>
    <row r="219" spans="1:192" ht="20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</row>
    <row r="220" spans="1:192" ht="20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</row>
    <row r="221" spans="1:192" ht="20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</row>
    <row r="222" spans="1:192" ht="20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</row>
    <row r="223" spans="1:192" ht="20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</row>
    <row r="224" spans="1:192" ht="20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</row>
    <row r="225" spans="1:192" ht="20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</row>
    <row r="226" spans="1:192" ht="20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</row>
    <row r="227" spans="1:192" ht="20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</row>
    <row r="228" spans="1:192" ht="20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</row>
    <row r="229" spans="1:192" ht="20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</row>
    <row r="230" spans="1:192" ht="20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</row>
    <row r="231" spans="1:192" ht="20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</row>
    <row r="232" spans="1:192" ht="20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</row>
    <row r="233" spans="1:192" ht="20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</row>
    <row r="234" spans="1:192" ht="20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</row>
    <row r="235" spans="1:192" ht="20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</row>
    <row r="236" spans="1:192" ht="20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</row>
    <row r="237" spans="1:192" ht="20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</row>
    <row r="238" spans="1:192" ht="20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</row>
    <row r="239" spans="1:192" ht="20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</row>
    <row r="240" spans="1:192" ht="20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</row>
    <row r="241" spans="1:192" ht="20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</row>
    <row r="242" spans="1:192" ht="20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</row>
    <row r="243" spans="1:192" ht="20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</row>
    <row r="244" spans="1:192" ht="20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</row>
    <row r="245" spans="1:192" ht="20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</row>
    <row r="246" spans="1:192" ht="20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</row>
    <row r="247" spans="1:192" ht="20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</row>
    <row r="248" spans="1:192" ht="20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</row>
    <row r="249" spans="1:192" ht="20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</row>
    <row r="250" spans="1:192" ht="20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</row>
    <row r="251" spans="1:192" ht="20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</row>
    <row r="252" spans="1:192" ht="20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</row>
    <row r="253" spans="1:192" ht="20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</row>
    <row r="254" spans="1:192" ht="20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</row>
    <row r="255" spans="1:192" ht="20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</row>
    <row r="256" spans="1:192" ht="20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</row>
    <row r="257" spans="1:192" ht="20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</row>
    <row r="258" spans="1:192" ht="20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</row>
    <row r="259" spans="1:192" ht="20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</row>
    <row r="260" spans="1:192" ht="20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</row>
    <row r="261" spans="1:192" ht="20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</row>
    <row r="262" spans="1:192" ht="20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</row>
    <row r="263" spans="1:192" ht="20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</row>
    <row r="264" spans="1:192" ht="20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</row>
    <row r="265" spans="1:192" ht="20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</row>
    <row r="266" spans="1:192" ht="20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</row>
    <row r="267" spans="1:192" ht="20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</row>
    <row r="268" spans="1:192" ht="20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</row>
    <row r="269" spans="1:192" ht="20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</row>
    <row r="270" spans="1:192" ht="20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</row>
    <row r="271" spans="1:192" ht="20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</row>
    <row r="272" spans="1:192" ht="20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</row>
    <row r="273" spans="1:192" ht="20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</row>
    <row r="274" spans="1:192" ht="20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</row>
    <row r="275" spans="1:192" ht="20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</row>
    <row r="276" spans="1:192" ht="20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</row>
    <row r="277" spans="1:192" ht="20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</row>
    <row r="278" spans="1:192" ht="20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</row>
    <row r="279" spans="1:192" ht="20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</row>
    <row r="280" spans="1:192" ht="20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</row>
    <row r="281" spans="1:192" ht="20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</row>
    <row r="282" spans="1:192" ht="20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</row>
    <row r="283" spans="1:192" ht="20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</row>
    <row r="284" spans="1:192" ht="20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</row>
    <row r="285" spans="1:192" ht="20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</row>
    <row r="286" spans="1:192" ht="20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</row>
    <row r="287" spans="1:192" ht="20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</row>
    <row r="288" spans="1:192" ht="20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</row>
    <row r="289" spans="1:192" ht="20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</row>
    <row r="290" spans="1:192" ht="20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</row>
    <row r="291" spans="1:192" ht="20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</row>
    <row r="292" spans="1:192" ht="20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</row>
    <row r="293" spans="1:192" ht="20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</row>
    <row r="294" spans="1:192" ht="20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</row>
    <row r="295" spans="1:192" ht="20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</row>
    <row r="296" spans="1:192" ht="20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</row>
    <row r="297" spans="1:192" ht="20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</row>
    <row r="298" spans="1:192" ht="20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</row>
    <row r="299" spans="1:192" ht="20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</row>
    <row r="300" spans="1:192" ht="20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</row>
    <row r="301" spans="1:192" ht="20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</row>
    <row r="302" spans="1:192" ht="20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</row>
    <row r="303" spans="1:192" ht="20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</row>
    <row r="304" spans="1:192" ht="20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</row>
    <row r="305" spans="1:192" ht="20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</row>
    <row r="306" spans="1:192" ht="20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</row>
    <row r="307" spans="1:192" ht="20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</row>
    <row r="308" spans="1:192" ht="20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</row>
    <row r="309" spans="1:192" ht="20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</row>
    <row r="310" spans="1:192" ht="20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</row>
    <row r="311" spans="1:192" ht="20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</row>
    <row r="312" spans="1:192" ht="20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</row>
    <row r="313" spans="1:192" ht="20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</row>
    <row r="314" spans="1:192" ht="20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</row>
    <row r="315" spans="1:192" ht="20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</row>
    <row r="316" spans="1:192" ht="20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</row>
    <row r="317" spans="1:192" ht="20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</row>
    <row r="318" spans="1:192" ht="20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</row>
    <row r="319" spans="1:192" ht="20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</row>
    <row r="320" spans="1:192" ht="20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</row>
    <row r="321" spans="1:192" ht="20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</row>
    <row r="322" spans="1:192" ht="20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</row>
    <row r="323" spans="1:192" ht="20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</row>
    <row r="324" spans="1:192" ht="20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</row>
    <row r="325" spans="1:192" ht="20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</row>
    <row r="326" spans="1:192" ht="20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</row>
    <row r="327" spans="1:192" ht="20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</row>
    <row r="328" spans="1:192" ht="20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</row>
    <row r="329" spans="1:192" ht="20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</row>
    <row r="330" spans="1:192" ht="20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</row>
    <row r="331" spans="1:192" ht="20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</row>
    <row r="332" spans="1:192" ht="20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</row>
    <row r="333" spans="1:192" ht="20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</row>
    <row r="334" spans="1:192" ht="20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</row>
    <row r="335" spans="1:192" ht="20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</row>
    <row r="336" spans="1:192" ht="20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</row>
    <row r="337" spans="1:192" ht="20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</row>
    <row r="338" spans="1:192" ht="20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</row>
    <row r="339" spans="1:192" ht="20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</row>
    <row r="340" spans="1:192" ht="20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</row>
    <row r="341" spans="1:192" ht="20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</row>
    <row r="342" spans="1:192" ht="20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</row>
    <row r="343" spans="1:192" ht="20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</row>
    <row r="344" spans="1:192" ht="20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</row>
    <row r="345" spans="1:192" ht="20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</row>
    <row r="346" spans="1:192" ht="20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</row>
    <row r="347" spans="1:192" ht="20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</row>
    <row r="348" spans="1:192" ht="20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</row>
    <row r="349" spans="1:192" ht="20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</row>
    <row r="350" spans="1:192" ht="20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</row>
    <row r="351" spans="1:192" ht="20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</row>
    <row r="352" spans="1:192" ht="20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</row>
    <row r="353" spans="1:192" ht="20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</row>
    <row r="354" spans="1:192" ht="20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</row>
    <row r="355" spans="1:192" ht="20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</row>
    <row r="356" spans="1:192" ht="20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</row>
    <row r="357" spans="1:192" ht="20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</row>
    <row r="358" spans="1:192" ht="20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</row>
    <row r="359" spans="1:192" ht="20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</row>
    <row r="360" spans="1:192" ht="20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</row>
    <row r="361" spans="1:192" ht="20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</row>
    <row r="362" spans="1:192" ht="20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</row>
    <row r="363" spans="1:192" ht="20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</row>
    <row r="364" spans="1:192" ht="20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</row>
    <row r="365" spans="1:192" ht="20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</row>
    <row r="366" spans="1:192" ht="20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</row>
    <row r="367" spans="1:192" ht="20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</row>
    <row r="368" spans="1:192" ht="20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</row>
    <row r="369" spans="1:192" ht="20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</row>
    <row r="370" spans="1:192" ht="20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</row>
    <row r="371" spans="1:192" ht="20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</row>
    <row r="372" spans="1:192" ht="20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</row>
    <row r="373" spans="1:192" ht="20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</row>
    <row r="374" spans="1:192" ht="20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</row>
    <row r="375" spans="1:192" ht="20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</row>
    <row r="376" spans="1:192" ht="20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</row>
    <row r="377" spans="1:192" ht="20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</row>
    <row r="378" spans="1:192" ht="20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</row>
    <row r="379" spans="1:192" ht="20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</row>
    <row r="380" spans="1:192" ht="20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</row>
    <row r="381" spans="1:192" ht="20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</row>
    <row r="382" spans="1:192" ht="20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</row>
    <row r="383" spans="1:192" ht="20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</row>
    <row r="384" spans="1:192" ht="20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</row>
    <row r="385" spans="1:192" ht="20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</row>
    <row r="386" spans="1:192" ht="20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</row>
    <row r="387" spans="1:192" ht="20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</row>
    <row r="388" spans="1:192" ht="20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</row>
    <row r="389" spans="1:192" ht="20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</row>
    <row r="390" spans="1:192" ht="20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</row>
    <row r="391" spans="1:192" ht="20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</row>
    <row r="392" spans="1:192" ht="20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</row>
    <row r="393" spans="1:192" ht="20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</row>
    <row r="394" spans="1:192" ht="20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</row>
    <row r="395" spans="1:192" ht="20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</row>
    <row r="396" spans="1:192" ht="20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</row>
    <row r="397" spans="1:192" ht="20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</row>
    <row r="398" spans="1:192" ht="20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</row>
    <row r="399" spans="1:192" ht="20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</row>
    <row r="400" spans="1:192" ht="20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</row>
    <row r="401" spans="1:192" ht="20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</row>
    <row r="402" spans="1:192" ht="20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</row>
    <row r="403" spans="1:192" ht="20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</row>
    <row r="404" spans="1:192" ht="20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</row>
    <row r="405" spans="1:192" ht="20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</row>
    <row r="406" spans="1:192" ht="20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</row>
    <row r="407" spans="1:192" ht="20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</row>
    <row r="408" spans="1:192" ht="20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</row>
    <row r="409" spans="1:192" ht="20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</row>
    <row r="410" spans="1:192" ht="20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</row>
    <row r="411" spans="1:192" ht="20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</row>
    <row r="412" spans="1:192" ht="20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</row>
    <row r="413" spans="1:192" ht="20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</row>
    <row r="414" spans="1:192" ht="20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</row>
    <row r="415" spans="1:192" ht="20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</row>
    <row r="416" spans="1:192" ht="20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</row>
    <row r="417" spans="1:192" ht="20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</row>
    <row r="418" spans="1:192" ht="20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</row>
    <row r="419" spans="1:192" ht="20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</row>
    <row r="420" spans="1:192" ht="20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</row>
    <row r="421" spans="1:192" ht="20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</row>
    <row r="422" spans="1:192" ht="20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</row>
    <row r="423" spans="1:192" ht="20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</row>
    <row r="424" spans="1:192" ht="20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</row>
    <row r="425" spans="1:192" ht="20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</row>
    <row r="426" spans="1:192" ht="20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</row>
    <row r="427" spans="1:192" ht="20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</row>
    <row r="428" spans="1:192" ht="20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</row>
    <row r="429" spans="1:192" ht="20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</row>
    <row r="430" spans="1:192" ht="20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</row>
    <row r="431" spans="1:192" ht="20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</row>
    <row r="432" spans="1:192" ht="20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</row>
    <row r="433" spans="1:192" ht="20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</row>
    <row r="434" spans="1:192" ht="20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</row>
    <row r="435" spans="1:192" ht="20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</row>
    <row r="436" spans="1:192" ht="20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</row>
    <row r="437" spans="1:192" ht="20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</row>
    <row r="438" spans="1:192" ht="20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</row>
    <row r="439" spans="1:192" ht="20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</row>
    <row r="440" spans="1:192" ht="20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</row>
    <row r="441" spans="1:192" ht="20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</row>
    <row r="442" spans="1:192" ht="20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</row>
    <row r="443" spans="1:192" ht="20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</row>
    <row r="444" spans="1:192" ht="20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</row>
    <row r="445" spans="1:192" ht="20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</row>
    <row r="446" spans="1:192" ht="20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</row>
    <row r="447" spans="1:192" ht="20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</row>
    <row r="448" spans="1:192" ht="20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</row>
    <row r="449" spans="1:192" ht="20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</row>
    <row r="450" spans="1:192" ht="20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</row>
    <row r="451" spans="1:192" ht="20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</row>
    <row r="452" spans="1:192" ht="20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</row>
    <row r="453" spans="1:192" ht="20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</row>
    <row r="454" spans="1:192" ht="20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</row>
    <row r="455" spans="1:192" ht="20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</row>
    <row r="456" spans="1:192" ht="20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</row>
    <row r="457" spans="1:192" ht="20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</row>
    <row r="458" spans="1:192" ht="20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</row>
    <row r="459" spans="1:192" ht="20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</row>
    <row r="460" spans="1:192" ht="20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</row>
    <row r="461" spans="1:192" ht="20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</row>
    <row r="462" spans="1:192" ht="20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</row>
    <row r="463" spans="1:192" ht="20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</row>
    <row r="464" spans="1:192" ht="20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</row>
    <row r="465" spans="1:192" ht="20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</row>
    <row r="466" spans="1:192" ht="20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</row>
    <row r="467" spans="1:192" ht="20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</row>
    <row r="468" spans="1:192" ht="20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</row>
    <row r="469" spans="1:192" ht="20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</row>
    <row r="470" spans="1:192" ht="20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</row>
    <row r="471" spans="1:192" ht="20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</row>
    <row r="472" spans="1:192" ht="20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</row>
    <row r="473" spans="1:192" ht="20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</row>
    <row r="474" spans="1:192" ht="20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</row>
    <row r="475" spans="1:192" ht="20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</row>
    <row r="476" spans="1:192" ht="20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</row>
    <row r="477" spans="1:192" ht="20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</row>
    <row r="478" spans="1:192" ht="20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</row>
    <row r="479" spans="1:192" ht="20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</row>
    <row r="480" spans="1:192" ht="20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</row>
    <row r="481" spans="1:192" ht="20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</row>
    <row r="482" spans="1:192" ht="20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</row>
    <row r="483" spans="1:192" ht="20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</row>
    <row r="484" spans="1:192" ht="20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</row>
    <row r="485" spans="1:192" ht="20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</row>
    <row r="486" spans="1:192" ht="20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</row>
    <row r="487" spans="1:192" ht="20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</row>
    <row r="488" spans="1:192" ht="20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</row>
    <row r="489" spans="1:192" ht="20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</row>
    <row r="490" spans="1:192" ht="20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</row>
    <row r="491" spans="1:192" ht="20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</row>
    <row r="492" spans="1:192" ht="20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</row>
    <row r="493" spans="1:192" ht="20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</row>
    <row r="494" spans="1:192" ht="20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</row>
    <row r="495" spans="1:192" ht="20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</row>
    <row r="496" spans="1:192" ht="20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</row>
    <row r="497" spans="1:192" ht="20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</row>
    <row r="498" spans="1:192" ht="20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</row>
    <row r="499" spans="1:192" ht="20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</row>
    <row r="500" spans="1:192" ht="20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</row>
    <row r="501" spans="1:192" ht="20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</row>
  </sheetData>
  <sheetProtection sheet="1"/>
  <conditionalFormatting sqref="D6:D8">
    <cfRule type="cellIs" dxfId="24" priority="2" operator="equal">
      <formula>"PASS"</formula>
    </cfRule>
    <cfRule type="cellIs" dxfId="23" priority="3" operator="equal">
      <formula>"FAIL"</formula>
    </cfRule>
    <cfRule type="cellIs" dxfId="22" priority="4" operator="equal">
      <formula>"READY"</formula>
    </cfRule>
    <cfRule type="cellIs" dxfId="21" priority="5" operator="equal">
      <formula>"NOT READY"</formula>
    </cfRule>
  </conditionalFormatting>
  <conditionalFormatting sqref="D11:D14">
    <cfRule type="cellIs" dxfId="20" priority="6" operator="equal">
      <formula>"PASS"</formula>
    </cfRule>
    <cfRule type="cellIs" dxfId="19" priority="7" operator="equal">
      <formula>"FAIL"</formula>
    </cfRule>
    <cfRule type="cellIs" dxfId="18" priority="8" operator="equal">
      <formula>"READY"</formula>
    </cfRule>
    <cfRule type="cellIs" dxfId="17" priority="9" operator="equal">
      <formula>"NOT READY"</formula>
    </cfRule>
  </conditionalFormatting>
  <conditionalFormatting sqref="D17:D23">
    <cfRule type="cellIs" dxfId="16" priority="10" operator="equal">
      <formula>"PASS"</formula>
    </cfRule>
    <cfRule type="cellIs" dxfId="15" priority="11" operator="equal">
      <formula>"FAIL"</formula>
    </cfRule>
    <cfRule type="cellIs" dxfId="14" priority="12" operator="equal">
      <formula>"READY"</formula>
    </cfRule>
    <cfRule type="cellIs" dxfId="13" priority="13" operator="equal">
      <formula>"NOT READY"</formula>
    </cfRule>
  </conditionalFormatting>
  <conditionalFormatting sqref="D25:D28">
    <cfRule type="cellIs" dxfId="12" priority="14" operator="equal">
      <formula>"PASS"</formula>
    </cfRule>
    <cfRule type="cellIs" dxfId="11" priority="15" operator="equal">
      <formula>"FAIL"</formula>
    </cfRule>
    <cfRule type="cellIs" dxfId="10" priority="16" operator="equal">
      <formula>"READY"</formula>
    </cfRule>
    <cfRule type="cellIs" dxfId="9" priority="17" operator="equal">
      <formula>"NOT READY"</formula>
    </cfRule>
  </conditionalFormatting>
  <conditionalFormatting sqref="D31">
    <cfRule type="cellIs" dxfId="8" priority="18" operator="equal">
      <formula>"PASS"</formula>
    </cfRule>
    <cfRule type="cellIs" dxfId="7" priority="19" operator="equal">
      <formula>"FAIL"</formula>
    </cfRule>
    <cfRule type="cellIs" dxfId="6" priority="20" operator="equal">
      <formula>"READY"</formula>
    </cfRule>
    <cfRule type="cellIs" dxfId="5" priority="21" operator="equal">
      <formula>"NOT READY"</formula>
    </cfRule>
  </conditionalFormatting>
  <pageMargins left="0.75" right="0.75" top="1" bottom="1" header="0.511811023622047" footer="0.511811023622047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 tint="-0.249977111117893"/>
  </sheetPr>
  <dimension ref="A1:GR500"/>
  <sheetViews>
    <sheetView zoomScaleNormal="100" workbookViewId="0">
      <selection activeCell="BT8" sqref="BT8"/>
    </sheetView>
  </sheetViews>
  <sheetFormatPr baseColWidth="10" defaultColWidth="8.6640625" defaultRowHeight="15" customHeight="1" x14ac:dyDescent="0.2"/>
  <cols>
    <col min="1" max="1" width="2" customWidth="1"/>
    <col min="2" max="2" width="12.1640625" hidden="1" customWidth="1"/>
    <col min="3" max="3" width="14" customWidth="1"/>
    <col min="4" max="66" width="13" customWidth="1"/>
  </cols>
  <sheetData>
    <row r="1" spans="1:200" ht="30" customHeight="1" x14ac:dyDescent="0.2">
      <c r="A1" s="8"/>
      <c r="B1" s="9"/>
      <c r="C1" s="9"/>
      <c r="D1" s="58" t="s">
        <v>311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</row>
    <row r="2" spans="1:200" ht="15" customHeight="1" x14ac:dyDescent="0.2">
      <c r="A2" s="8"/>
      <c r="B2" s="9"/>
      <c r="C2" s="9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18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</row>
    <row r="3" spans="1:200" ht="15" customHeight="1" x14ac:dyDescent="0.2">
      <c r="A3" s="8"/>
      <c r="B3" s="9"/>
      <c r="C3" s="9"/>
      <c r="D3" s="59" t="s">
        <v>312</v>
      </c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18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</row>
    <row r="4" spans="1:200" ht="15" customHeight="1" x14ac:dyDescent="0.2">
      <c r="A4" s="8"/>
      <c r="B4" s="8"/>
      <c r="C4" s="8"/>
      <c r="D4" s="128" t="s">
        <v>313</v>
      </c>
      <c r="E4" s="129"/>
      <c r="F4" s="129"/>
      <c r="G4" s="128" t="s">
        <v>314</v>
      </c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  <c r="AA4" s="128" t="s">
        <v>315</v>
      </c>
      <c r="AB4" s="129"/>
      <c r="AC4" s="129"/>
      <c r="AD4" s="129"/>
      <c r="AE4" s="129"/>
      <c r="AF4" s="129"/>
      <c r="AG4" s="129"/>
      <c r="AH4" s="129"/>
      <c r="AI4" s="129"/>
      <c r="AJ4" s="129"/>
      <c r="AK4" s="129"/>
      <c r="AL4" s="129"/>
      <c r="AM4" s="129"/>
      <c r="AN4" s="129"/>
      <c r="AO4" s="129"/>
      <c r="AP4" s="129"/>
      <c r="AQ4" s="129"/>
      <c r="AR4" s="129"/>
      <c r="AS4" s="129"/>
      <c r="AT4" s="130"/>
      <c r="AU4" s="131" t="s">
        <v>316</v>
      </c>
      <c r="AV4" s="130"/>
      <c r="AW4" s="130"/>
      <c r="AX4" s="130"/>
      <c r="AY4" s="130"/>
      <c r="AZ4" s="130"/>
      <c r="BA4" s="130"/>
      <c r="BB4" s="130"/>
      <c r="BC4" s="130"/>
      <c r="BD4" s="130"/>
      <c r="BE4" s="130"/>
      <c r="BF4" s="130"/>
      <c r="BG4" s="130"/>
      <c r="BH4" s="130"/>
      <c r="BI4" s="130"/>
      <c r="BJ4" s="130"/>
      <c r="BK4" s="130"/>
      <c r="BL4" s="130"/>
      <c r="BM4" s="130"/>
      <c r="BN4" s="130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</row>
    <row r="5" spans="1:200" ht="50" customHeight="1" x14ac:dyDescent="0.2">
      <c r="A5" s="8"/>
      <c r="B5" s="60" t="s">
        <v>105</v>
      </c>
      <c r="C5" s="19"/>
      <c r="D5" s="132" t="str">
        <f>IF(Policy_Setup!C13="Yes",Policy_Setup!C9,"— (not direct)")</f>
        <v>— (not direct)</v>
      </c>
      <c r="E5" s="132" t="str">
        <f>IF(Policy_Setup!C46="Yes",Policy_Setup!C42,"— (not direct)")</f>
        <v>— (not direct)</v>
      </c>
      <c r="F5" s="132" t="str">
        <f>IF(Policy_Setup!C79="Yes",Policy_Setup!C75,"— (not direct)")</f>
        <v>— (not direct)</v>
      </c>
      <c r="G5" s="133" t="str">
        <f>IF(Policy_Setup!E16="","",Policy_Setup!E16)</f>
        <v>MSCI ACWI</v>
      </c>
      <c r="H5" s="133" t="str">
        <f>IF(Policy_Setup!E17="","",Policy_Setup!E17)</f>
        <v>Cambridge PE Benchmark</v>
      </c>
      <c r="I5" s="133" t="str">
        <f>IF(Policy_Setup!E18="","",Policy_Setup!E18)</f>
        <v>HFRI FoF</v>
      </c>
      <c r="J5" s="133" t="str">
        <f>IF(Policy_Setup!E19="","",Policy_Setup!E19)</f>
        <v>Bloomberg US Agg</v>
      </c>
      <c r="K5" s="133" t="str">
        <f>IF(Policy_Setup!E20="","",Policy_Setup!E20)</f>
        <v/>
      </c>
      <c r="L5" s="133" t="str">
        <f>IF(Policy_Setup!E21="","",Policy_Setup!E21)</f>
        <v/>
      </c>
      <c r="M5" s="133" t="str">
        <f>IF(Policy_Setup!E22="","",Policy_Setup!E22)</f>
        <v/>
      </c>
      <c r="N5" s="133" t="str">
        <f>IF(Policy_Setup!E23="","",Policy_Setup!E23)</f>
        <v/>
      </c>
      <c r="O5" s="133" t="str">
        <f>IF(Policy_Setup!E24="","",Policy_Setup!E24)</f>
        <v/>
      </c>
      <c r="P5" s="133" t="str">
        <f>IF(Policy_Setup!E25="","",Policy_Setup!E25)</f>
        <v/>
      </c>
      <c r="Q5" s="133" t="str">
        <f>IF(Policy_Setup!E26="","",Policy_Setup!E26)</f>
        <v/>
      </c>
      <c r="R5" s="133" t="str">
        <f>IF(Policy_Setup!E27="","",Policy_Setup!E27)</f>
        <v/>
      </c>
      <c r="S5" s="133" t="str">
        <f>IF(Policy_Setup!E28="","",Policy_Setup!E28)</f>
        <v/>
      </c>
      <c r="T5" s="133" t="str">
        <f>IF(Policy_Setup!E29="","",Policy_Setup!E29)</f>
        <v/>
      </c>
      <c r="U5" s="133" t="str">
        <f>IF(Policy_Setup!E30="","",Policy_Setup!E30)</f>
        <v/>
      </c>
      <c r="V5" s="133" t="str">
        <f>IF(Policy_Setup!E31="","",Policy_Setup!E31)</f>
        <v/>
      </c>
      <c r="W5" s="133" t="str">
        <f>IF(Policy_Setup!E32="","",Policy_Setup!E32)</f>
        <v/>
      </c>
      <c r="X5" s="133" t="str">
        <f>IF(Policy_Setup!E33="","",Policy_Setup!E33)</f>
        <v/>
      </c>
      <c r="Y5" s="133" t="str">
        <f>IF(Policy_Setup!E34="","",Policy_Setup!E34)</f>
        <v/>
      </c>
      <c r="Z5" s="133" t="str">
        <f>IF(Policy_Setup!E35="","",Policy_Setup!E35)</f>
        <v/>
      </c>
      <c r="AA5" s="133" t="str">
        <f>IF(Policy_Setup!E49="","",Policy_Setup!E49)</f>
        <v>MSCI ACWI</v>
      </c>
      <c r="AB5" s="133" t="str">
        <f>IF(Policy_Setup!E50="","",Policy_Setup!E50)</f>
        <v>Bloomberg US Agg</v>
      </c>
      <c r="AC5" s="133" t="str">
        <f>IF(Policy_Setup!E51="","",Policy_Setup!E51)</f>
        <v/>
      </c>
      <c r="AD5" s="133" t="str">
        <f>IF(Policy_Setup!E52="","",Policy_Setup!E52)</f>
        <v/>
      </c>
      <c r="AE5" s="133" t="str">
        <f>IF(Policy_Setup!E53="","",Policy_Setup!E53)</f>
        <v/>
      </c>
      <c r="AF5" s="133" t="str">
        <f>IF(Policy_Setup!E54="","",Policy_Setup!E54)</f>
        <v/>
      </c>
      <c r="AG5" s="133" t="str">
        <f>IF(Policy_Setup!E55="","",Policy_Setup!E55)</f>
        <v/>
      </c>
      <c r="AH5" s="133" t="str">
        <f>IF(Policy_Setup!E56="","",Policy_Setup!E56)</f>
        <v/>
      </c>
      <c r="AI5" s="133" t="str">
        <f>IF(Policy_Setup!E57="","",Policy_Setup!E57)</f>
        <v/>
      </c>
      <c r="AJ5" s="133" t="str">
        <f>IF(Policy_Setup!E58="","",Policy_Setup!E58)</f>
        <v/>
      </c>
      <c r="AK5" s="133" t="str">
        <f>IF(Policy_Setup!E59="","",Policy_Setup!E59)</f>
        <v/>
      </c>
      <c r="AL5" s="133" t="str">
        <f>IF(Policy_Setup!E60="","",Policy_Setup!E60)</f>
        <v/>
      </c>
      <c r="AM5" s="133" t="str">
        <f>IF(Policy_Setup!E61="","",Policy_Setup!E61)</f>
        <v/>
      </c>
      <c r="AN5" s="133" t="str">
        <f>IF(Policy_Setup!E62="","",Policy_Setup!E62)</f>
        <v/>
      </c>
      <c r="AO5" s="133" t="str">
        <f>IF(Policy_Setup!E63="","",Policy_Setup!E63)</f>
        <v/>
      </c>
      <c r="AP5" s="133" t="str">
        <f>IF(Policy_Setup!E64="","",Policy_Setup!E64)</f>
        <v/>
      </c>
      <c r="AQ5" s="133" t="str">
        <f>IF(Policy_Setup!E65="","",Policy_Setup!E65)</f>
        <v/>
      </c>
      <c r="AR5" s="133" t="str">
        <f>IF(Policy_Setup!E66="","",Policy_Setup!E66)</f>
        <v/>
      </c>
      <c r="AS5" s="133" t="str">
        <f>IF(Policy_Setup!E67="","",Policy_Setup!E67)</f>
        <v/>
      </c>
      <c r="AT5" s="134" t="str">
        <f>IF(Policy_Setup!E68="","",Policy_Setup!E68)</f>
        <v/>
      </c>
      <c r="AU5" s="135" t="str">
        <f>IF(Policy_Setup!E82="","",Policy_Setup!E82)</f>
        <v/>
      </c>
      <c r="AV5" s="135" t="str">
        <f>IF(Policy_Setup!E83="","",Policy_Setup!E83)</f>
        <v/>
      </c>
      <c r="AW5" s="135" t="str">
        <f>IF(Policy_Setup!E84="","",Policy_Setup!E84)</f>
        <v/>
      </c>
      <c r="AX5" s="135" t="str">
        <f>IF(Policy_Setup!E85="","",Policy_Setup!E85)</f>
        <v/>
      </c>
      <c r="AY5" s="135" t="str">
        <f>IF(Policy_Setup!E86="","",Policy_Setup!E86)</f>
        <v/>
      </c>
      <c r="AZ5" s="135" t="str">
        <f>IF(Policy_Setup!E87="","",Policy_Setup!E87)</f>
        <v/>
      </c>
      <c r="BA5" s="135" t="str">
        <f>IF(Policy_Setup!E88="","",Policy_Setup!E88)</f>
        <v/>
      </c>
      <c r="BB5" s="135" t="str">
        <f>IF(Policy_Setup!E89="","",Policy_Setup!E89)</f>
        <v/>
      </c>
      <c r="BC5" s="135" t="str">
        <f>IF(Policy_Setup!E90="","",Policy_Setup!E90)</f>
        <v/>
      </c>
      <c r="BD5" s="135" t="str">
        <f>IF(Policy_Setup!E91="","",Policy_Setup!E91)</f>
        <v/>
      </c>
      <c r="BE5" s="135" t="str">
        <f>IF(Policy_Setup!E92="","",Policy_Setup!E92)</f>
        <v/>
      </c>
      <c r="BF5" s="135" t="str">
        <f>IF(Policy_Setup!E93="","",Policy_Setup!E93)</f>
        <v/>
      </c>
      <c r="BG5" s="135" t="str">
        <f>IF(Policy_Setup!E94="","",Policy_Setup!E94)</f>
        <v/>
      </c>
      <c r="BH5" s="135" t="str">
        <f>IF(Policy_Setup!E95="","",Policy_Setup!E95)</f>
        <v/>
      </c>
      <c r="BI5" s="135" t="str">
        <f>IF(Policy_Setup!E96="","",Policy_Setup!E96)</f>
        <v/>
      </c>
      <c r="BJ5" s="135" t="str">
        <f>IF(Policy_Setup!E97="","",Policy_Setup!E97)</f>
        <v/>
      </c>
      <c r="BK5" s="135" t="str">
        <f>IF(Policy_Setup!E98="","",Policy_Setup!E98)</f>
        <v/>
      </c>
      <c r="BL5" s="135" t="str">
        <f>IF(Policy_Setup!E99="","",Policy_Setup!E99)</f>
        <v/>
      </c>
      <c r="BM5" s="135" t="str">
        <f>IF(Policy_Setup!E100="","",Policy_Setup!E100)</f>
        <v/>
      </c>
      <c r="BN5" s="135" t="str">
        <f>IF(Policy_Setup!E101="","",Policy_Setup!E101)</f>
        <v/>
      </c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</row>
    <row r="6" spans="1:200" ht="15" customHeight="1" x14ac:dyDescent="0.2">
      <c r="A6" s="19"/>
      <c r="B6" s="19"/>
      <c r="C6" s="1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  <c r="Y6" s="129"/>
      <c r="Z6" s="129"/>
      <c r="AA6" s="129"/>
      <c r="AB6" s="129"/>
      <c r="AC6" s="129"/>
      <c r="AD6" s="129"/>
      <c r="AE6" s="129"/>
      <c r="AF6" s="129"/>
      <c r="AG6" s="129"/>
      <c r="AH6" s="129"/>
      <c r="AI6" s="129"/>
      <c r="AJ6" s="129"/>
      <c r="AK6" s="129"/>
      <c r="AL6" s="129"/>
      <c r="AM6" s="129"/>
      <c r="AN6" s="129"/>
      <c r="AO6" s="129"/>
      <c r="AP6" s="129"/>
      <c r="AQ6" s="129"/>
      <c r="AR6" s="129"/>
      <c r="AS6" s="129"/>
      <c r="AT6" s="130"/>
      <c r="AU6" s="130"/>
      <c r="AV6" s="130"/>
      <c r="AW6" s="130"/>
      <c r="AX6" s="130"/>
      <c r="AY6" s="130"/>
      <c r="AZ6" s="130"/>
      <c r="BA6" s="130"/>
      <c r="BB6" s="130"/>
      <c r="BC6" s="130"/>
      <c r="BD6" s="130"/>
      <c r="BE6" s="130"/>
      <c r="BF6" s="130"/>
      <c r="BG6" s="130"/>
      <c r="BH6" s="130"/>
      <c r="BI6" s="130"/>
      <c r="BJ6" s="130"/>
      <c r="BK6" s="130"/>
      <c r="BL6" s="130"/>
      <c r="BM6" s="130"/>
      <c r="BN6" s="130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</row>
    <row r="7" spans="1:200" ht="15" customHeight="1" x14ac:dyDescent="0.2">
      <c r="A7" s="21"/>
      <c r="B7" s="136" t="s">
        <v>204</v>
      </c>
      <c r="C7" s="136" t="s">
        <v>205</v>
      </c>
      <c r="D7" s="136" t="s">
        <v>317</v>
      </c>
      <c r="E7" s="136" t="s">
        <v>318</v>
      </c>
      <c r="F7" s="136" t="s">
        <v>319</v>
      </c>
      <c r="G7" s="136" t="s">
        <v>320</v>
      </c>
      <c r="H7" s="136" t="s">
        <v>321</v>
      </c>
      <c r="I7" s="136" t="s">
        <v>322</v>
      </c>
      <c r="J7" s="136" t="s">
        <v>323</v>
      </c>
      <c r="K7" s="136" t="s">
        <v>324</v>
      </c>
      <c r="L7" s="136" t="s">
        <v>325</v>
      </c>
      <c r="M7" s="136" t="s">
        <v>326</v>
      </c>
      <c r="N7" s="136" t="s">
        <v>327</v>
      </c>
      <c r="O7" s="136" t="s">
        <v>328</v>
      </c>
      <c r="P7" s="136" t="s">
        <v>329</v>
      </c>
      <c r="Q7" s="136" t="s">
        <v>330</v>
      </c>
      <c r="R7" s="136" t="s">
        <v>331</v>
      </c>
      <c r="S7" s="136" t="s">
        <v>332</v>
      </c>
      <c r="T7" s="136" t="s">
        <v>333</v>
      </c>
      <c r="U7" s="136" t="s">
        <v>334</v>
      </c>
      <c r="V7" s="136" t="s">
        <v>335</v>
      </c>
      <c r="W7" s="136" t="s">
        <v>336</v>
      </c>
      <c r="X7" s="136" t="s">
        <v>337</v>
      </c>
      <c r="Y7" s="136" t="s">
        <v>338</v>
      </c>
      <c r="Z7" s="136" t="s">
        <v>339</v>
      </c>
      <c r="AA7" s="136" t="s">
        <v>340</v>
      </c>
      <c r="AB7" s="136" t="s">
        <v>341</v>
      </c>
      <c r="AC7" s="136" t="s">
        <v>342</v>
      </c>
      <c r="AD7" s="136" t="s">
        <v>343</v>
      </c>
      <c r="AE7" s="136" t="s">
        <v>344</v>
      </c>
      <c r="AF7" s="136" t="s">
        <v>345</v>
      </c>
      <c r="AG7" s="136" t="s">
        <v>346</v>
      </c>
      <c r="AH7" s="136" t="s">
        <v>347</v>
      </c>
      <c r="AI7" s="136" t="s">
        <v>348</v>
      </c>
      <c r="AJ7" s="136" t="s">
        <v>349</v>
      </c>
      <c r="AK7" s="136" t="s">
        <v>350</v>
      </c>
      <c r="AL7" s="136" t="s">
        <v>351</v>
      </c>
      <c r="AM7" s="136" t="s">
        <v>352</v>
      </c>
      <c r="AN7" s="136" t="s">
        <v>353</v>
      </c>
      <c r="AO7" s="136" t="s">
        <v>354</v>
      </c>
      <c r="AP7" s="136" t="s">
        <v>355</v>
      </c>
      <c r="AQ7" s="136" t="s">
        <v>356</v>
      </c>
      <c r="AR7" s="136" t="s">
        <v>357</v>
      </c>
      <c r="AS7" s="136" t="s">
        <v>358</v>
      </c>
      <c r="AT7" s="136" t="s">
        <v>359</v>
      </c>
      <c r="AU7" s="136" t="s">
        <v>360</v>
      </c>
      <c r="AV7" s="136" t="s">
        <v>361</v>
      </c>
      <c r="AW7" s="136" t="s">
        <v>362</v>
      </c>
      <c r="AX7" s="137" t="s">
        <v>363</v>
      </c>
      <c r="AY7" s="137" t="s">
        <v>364</v>
      </c>
      <c r="AZ7" s="137" t="s">
        <v>365</v>
      </c>
      <c r="BA7" s="137" t="s">
        <v>366</v>
      </c>
      <c r="BB7" s="137" t="s">
        <v>367</v>
      </c>
      <c r="BC7" s="137" t="s">
        <v>368</v>
      </c>
      <c r="BD7" s="137" t="s">
        <v>369</v>
      </c>
      <c r="BE7" s="137" t="s">
        <v>370</v>
      </c>
      <c r="BF7" s="137" t="s">
        <v>371</v>
      </c>
      <c r="BG7" s="137" t="s">
        <v>372</v>
      </c>
      <c r="BH7" s="137" t="s">
        <v>373</v>
      </c>
      <c r="BI7" s="137" t="s">
        <v>374</v>
      </c>
      <c r="BJ7" s="137" t="s">
        <v>375</v>
      </c>
      <c r="BK7" s="137" t="s">
        <v>376</v>
      </c>
      <c r="BL7" s="137" t="s">
        <v>377</v>
      </c>
      <c r="BM7" s="137" t="s">
        <v>378</v>
      </c>
      <c r="BN7" s="137" t="s">
        <v>379</v>
      </c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</row>
    <row r="8" spans="1:200" ht="15" customHeight="1" x14ac:dyDescent="0.2">
      <c r="A8" s="18"/>
      <c r="B8" s="18" t="str">
        <f t="shared" ref="B8:B39" si="0">IF(C8="","","[ROW:"&amp;UPPER(TEXT(C8,"MMM"))&amp;"_"&amp;TEXT(C8,"YYYY")&amp;"]")</f>
        <v>[ROW:JAN_2016]</v>
      </c>
      <c r="C8" s="29">
        <f>IF(OR(Client_Info!$D$14="",Client_Info!$D$15=""),"",IF(EOMONTH(Client_Info!$D$14,0)&lt;=Client_Info!$D$15,EOMONTH(Client_Info!$D$14,0),""))</f>
        <v>42400</v>
      </c>
      <c r="D8" s="138"/>
      <c r="E8" s="138"/>
      <c r="F8" s="138"/>
      <c r="G8" s="143">
        <v>1.4</v>
      </c>
      <c r="H8" s="143">
        <v>1.81</v>
      </c>
      <c r="I8" s="143">
        <v>0.4</v>
      </c>
      <c r="J8" s="143">
        <v>0.67</v>
      </c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43">
        <v>1.4</v>
      </c>
      <c r="AB8" s="143">
        <v>0.67</v>
      </c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9"/>
      <c r="AU8" s="140"/>
      <c r="AV8" s="140"/>
      <c r="AW8" s="140"/>
      <c r="AX8" s="140"/>
      <c r="AY8" s="140"/>
      <c r="AZ8" s="140"/>
      <c r="BA8" s="140"/>
      <c r="BB8" s="140"/>
      <c r="BC8" s="140"/>
      <c r="BD8" s="140"/>
      <c r="BE8" s="140"/>
      <c r="BF8" s="140"/>
      <c r="BG8" s="140"/>
      <c r="BH8" s="140"/>
      <c r="BI8" s="140"/>
      <c r="BJ8" s="140"/>
      <c r="BK8" s="140"/>
      <c r="BL8" s="140"/>
      <c r="BM8" s="140"/>
      <c r="BN8" s="140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</row>
    <row r="9" spans="1:200" ht="15" customHeight="1" x14ac:dyDescent="0.2">
      <c r="A9" s="18"/>
      <c r="B9" s="18" t="str">
        <f t="shared" si="0"/>
        <v>[ROW:FEB_2016]</v>
      </c>
      <c r="C9" s="29">
        <f>IF(OR(Client_Info!$D$14="",Client_Info!$D$15=""),"",IF(EOMONTH(Client_Info!$D$14,1)&lt;=Client_Info!$D$15,EOMONTH(Client_Info!$D$14,1),""))</f>
        <v>42429</v>
      </c>
      <c r="D9" s="138"/>
      <c r="E9" s="138"/>
      <c r="F9" s="138"/>
      <c r="G9" s="143">
        <v>1.34</v>
      </c>
      <c r="H9" s="143">
        <v>0.5</v>
      </c>
      <c r="I9" s="143">
        <v>0.31</v>
      </c>
      <c r="J9" s="143">
        <v>0.18</v>
      </c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  <c r="Z9" s="138"/>
      <c r="AA9" s="143">
        <v>1.34</v>
      </c>
      <c r="AB9" s="143">
        <v>0.18</v>
      </c>
      <c r="AC9" s="138"/>
      <c r="AD9" s="138"/>
      <c r="AE9" s="138"/>
      <c r="AF9" s="138"/>
      <c r="AG9" s="138"/>
      <c r="AH9" s="138"/>
      <c r="AI9" s="138"/>
      <c r="AJ9" s="138"/>
      <c r="AK9" s="138"/>
      <c r="AL9" s="138"/>
      <c r="AM9" s="138"/>
      <c r="AN9" s="138"/>
      <c r="AO9" s="138"/>
      <c r="AP9" s="138"/>
      <c r="AQ9" s="138"/>
      <c r="AR9" s="138"/>
      <c r="AS9" s="138"/>
      <c r="AT9" s="139"/>
      <c r="AU9" s="140"/>
      <c r="AV9" s="140"/>
      <c r="AW9" s="140"/>
      <c r="AX9" s="140"/>
      <c r="AY9" s="140"/>
      <c r="AZ9" s="140"/>
      <c r="BA9" s="140"/>
      <c r="BB9" s="140"/>
      <c r="BC9" s="140"/>
      <c r="BD9" s="140"/>
      <c r="BE9" s="140"/>
      <c r="BF9" s="140"/>
      <c r="BG9" s="140"/>
      <c r="BH9" s="140"/>
      <c r="BI9" s="140"/>
      <c r="BJ9" s="140"/>
      <c r="BK9" s="140"/>
      <c r="BL9" s="140"/>
      <c r="BM9" s="140"/>
      <c r="BN9" s="140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</row>
    <row r="10" spans="1:200" ht="15" customHeight="1" x14ac:dyDescent="0.2">
      <c r="A10" s="18"/>
      <c r="B10" s="18" t="str">
        <f t="shared" si="0"/>
        <v>[ROW:MAR_2016]</v>
      </c>
      <c r="C10" s="29">
        <f>IF(OR(Client_Info!$D$14="",Client_Info!$D$15=""),"",IF(EOMONTH(Client_Info!$D$14,2)&lt;=Client_Info!$D$15,EOMONTH(Client_Info!$D$14,2),""))</f>
        <v>42460</v>
      </c>
      <c r="D10" s="138"/>
      <c r="E10" s="138"/>
      <c r="F10" s="138"/>
      <c r="G10" s="143">
        <v>2.5499999999999998</v>
      </c>
      <c r="H10" s="143">
        <v>4.0199999999999996</v>
      </c>
      <c r="I10" s="143">
        <v>-0.22</v>
      </c>
      <c r="J10" s="143">
        <v>-0.84</v>
      </c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8"/>
      <c r="AA10" s="143">
        <v>2.5499999999999998</v>
      </c>
      <c r="AB10" s="143">
        <v>-0.84</v>
      </c>
      <c r="AC10" s="138"/>
      <c r="AD10" s="138"/>
      <c r="AE10" s="138"/>
      <c r="AF10" s="138"/>
      <c r="AG10" s="138"/>
      <c r="AH10" s="138"/>
      <c r="AI10" s="138"/>
      <c r="AJ10" s="138"/>
      <c r="AK10" s="138"/>
      <c r="AL10" s="138"/>
      <c r="AM10" s="138"/>
      <c r="AN10" s="138"/>
      <c r="AO10" s="138"/>
      <c r="AP10" s="138"/>
      <c r="AQ10" s="138"/>
      <c r="AR10" s="138"/>
      <c r="AS10" s="138"/>
      <c r="AT10" s="139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40"/>
      <c r="BF10" s="140"/>
      <c r="BG10" s="140"/>
      <c r="BH10" s="140"/>
      <c r="BI10" s="140"/>
      <c r="BJ10" s="140"/>
      <c r="BK10" s="140"/>
      <c r="BL10" s="140"/>
      <c r="BM10" s="140"/>
      <c r="BN10" s="140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</row>
    <row r="11" spans="1:200" ht="15" customHeight="1" x14ac:dyDescent="0.2">
      <c r="A11" s="18"/>
      <c r="B11" s="18" t="str">
        <f t="shared" si="0"/>
        <v>[ROW:APR_2016]</v>
      </c>
      <c r="C11" s="29">
        <f>IF(OR(Client_Info!$D$14="",Client_Info!$D$15=""),"",IF(EOMONTH(Client_Info!$D$14,3)&lt;=Client_Info!$D$15,EOMONTH(Client_Info!$D$14,3),""))</f>
        <v>42490</v>
      </c>
      <c r="D11" s="138"/>
      <c r="E11" s="138"/>
      <c r="F11" s="138"/>
      <c r="G11" s="143">
        <v>5.83</v>
      </c>
      <c r="H11" s="143">
        <v>6.4</v>
      </c>
      <c r="I11" s="143">
        <v>2.15</v>
      </c>
      <c r="J11" s="143">
        <v>0.57999999999999996</v>
      </c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  <c r="Z11" s="138"/>
      <c r="AA11" s="143">
        <v>5.83</v>
      </c>
      <c r="AB11" s="143">
        <v>0.57999999999999996</v>
      </c>
      <c r="AC11" s="138"/>
      <c r="AD11" s="138"/>
      <c r="AE11" s="138"/>
      <c r="AF11" s="138"/>
      <c r="AG11" s="138"/>
      <c r="AH11" s="138"/>
      <c r="AI11" s="138"/>
      <c r="AJ11" s="138"/>
      <c r="AK11" s="138"/>
      <c r="AL11" s="138"/>
      <c r="AM11" s="138"/>
      <c r="AN11" s="138"/>
      <c r="AO11" s="138"/>
      <c r="AP11" s="138"/>
      <c r="AQ11" s="138"/>
      <c r="AR11" s="138"/>
      <c r="AS11" s="138"/>
      <c r="AT11" s="139"/>
      <c r="AU11" s="140"/>
      <c r="AV11" s="140"/>
      <c r="AW11" s="140"/>
      <c r="AX11" s="140"/>
      <c r="AY11" s="140"/>
      <c r="AZ11" s="140"/>
      <c r="BA11" s="140"/>
      <c r="BB11" s="140"/>
      <c r="BC11" s="140"/>
      <c r="BD11" s="140"/>
      <c r="BE11" s="140"/>
      <c r="BF11" s="140"/>
      <c r="BG11" s="140"/>
      <c r="BH11" s="140"/>
      <c r="BI11" s="140"/>
      <c r="BJ11" s="140"/>
      <c r="BK11" s="140"/>
      <c r="BL11" s="140"/>
      <c r="BM11" s="140"/>
      <c r="BN11" s="140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</row>
    <row r="12" spans="1:200" ht="15" customHeight="1" x14ac:dyDescent="0.2">
      <c r="A12" s="18"/>
      <c r="B12" s="18" t="str">
        <f t="shared" si="0"/>
        <v>[ROW:MAY_2016]</v>
      </c>
      <c r="C12" s="29">
        <f>IF(OR(Client_Info!$D$14="",Client_Info!$D$15=""),"",IF(EOMONTH(Client_Info!$D$14,4)&lt;=Client_Info!$D$15,EOMONTH(Client_Info!$D$14,4),""))</f>
        <v>42521</v>
      </c>
      <c r="D12" s="138"/>
      <c r="E12" s="138"/>
      <c r="F12" s="138"/>
      <c r="G12" s="143">
        <v>-0.83</v>
      </c>
      <c r="H12" s="143">
        <v>6.15</v>
      </c>
      <c r="I12" s="143">
        <v>0.97</v>
      </c>
      <c r="J12" s="143">
        <v>-1.1499999999999999</v>
      </c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8"/>
      <c r="AA12" s="143">
        <v>-0.83</v>
      </c>
      <c r="AB12" s="143">
        <v>-1.1499999999999999</v>
      </c>
      <c r="AC12" s="138"/>
      <c r="AD12" s="138"/>
      <c r="AE12" s="138"/>
      <c r="AF12" s="138"/>
      <c r="AG12" s="138"/>
      <c r="AH12" s="138"/>
      <c r="AI12" s="138"/>
      <c r="AJ12" s="138"/>
      <c r="AK12" s="138"/>
      <c r="AL12" s="138"/>
      <c r="AM12" s="138"/>
      <c r="AN12" s="138"/>
      <c r="AO12" s="138"/>
      <c r="AP12" s="138"/>
      <c r="AQ12" s="138"/>
      <c r="AR12" s="138"/>
      <c r="AS12" s="138"/>
      <c r="AT12" s="139"/>
      <c r="AU12" s="140"/>
      <c r="AV12" s="140"/>
      <c r="AW12" s="140"/>
      <c r="AX12" s="140"/>
      <c r="AY12" s="140"/>
      <c r="AZ12" s="140"/>
      <c r="BA12" s="140"/>
      <c r="BB12" s="140"/>
      <c r="BC12" s="140"/>
      <c r="BD12" s="140"/>
      <c r="BE12" s="140"/>
      <c r="BF12" s="140"/>
      <c r="BG12" s="140"/>
      <c r="BH12" s="140"/>
      <c r="BI12" s="140"/>
      <c r="BJ12" s="140"/>
      <c r="BK12" s="140"/>
      <c r="BL12" s="140"/>
      <c r="BM12" s="140"/>
      <c r="BN12" s="140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</row>
    <row r="13" spans="1:200" ht="15" customHeight="1" x14ac:dyDescent="0.2">
      <c r="A13" s="18"/>
      <c r="B13" s="18" t="str">
        <f t="shared" si="0"/>
        <v>[ROW:JUN_2016]</v>
      </c>
      <c r="C13" s="29">
        <f>IF(OR(Client_Info!$D$14="",Client_Info!$D$15=""),"",IF(EOMONTH(Client_Info!$D$14,5)&lt;=Client_Info!$D$15,EOMONTH(Client_Info!$D$14,5),""))</f>
        <v>42551</v>
      </c>
      <c r="D13" s="138"/>
      <c r="E13" s="138"/>
      <c r="F13" s="138"/>
      <c r="G13" s="143">
        <v>-0.76</v>
      </c>
      <c r="H13" s="143">
        <v>5.85</v>
      </c>
      <c r="I13" s="143">
        <v>-0.18</v>
      </c>
      <c r="J13" s="143">
        <v>1.58</v>
      </c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  <c r="Z13" s="138"/>
      <c r="AA13" s="143">
        <v>-0.76</v>
      </c>
      <c r="AB13" s="143">
        <v>1.58</v>
      </c>
      <c r="AC13" s="138"/>
      <c r="AD13" s="138"/>
      <c r="AE13" s="138"/>
      <c r="AF13" s="138"/>
      <c r="AG13" s="138"/>
      <c r="AH13" s="138"/>
      <c r="AI13" s="138"/>
      <c r="AJ13" s="138"/>
      <c r="AK13" s="138"/>
      <c r="AL13" s="138"/>
      <c r="AM13" s="138"/>
      <c r="AN13" s="138"/>
      <c r="AO13" s="138"/>
      <c r="AP13" s="138"/>
      <c r="AQ13" s="138"/>
      <c r="AR13" s="138"/>
      <c r="AS13" s="138"/>
      <c r="AT13" s="139"/>
      <c r="AU13" s="140"/>
      <c r="AV13" s="140"/>
      <c r="AW13" s="140"/>
      <c r="AX13" s="140"/>
      <c r="AY13" s="140"/>
      <c r="AZ13" s="140"/>
      <c r="BA13" s="140"/>
      <c r="BB13" s="140"/>
      <c r="BC13" s="140"/>
      <c r="BD13" s="140"/>
      <c r="BE13" s="140"/>
      <c r="BF13" s="140"/>
      <c r="BG13" s="140"/>
      <c r="BH13" s="140"/>
      <c r="BI13" s="140"/>
      <c r="BJ13" s="140"/>
      <c r="BK13" s="140"/>
      <c r="BL13" s="140"/>
      <c r="BM13" s="140"/>
      <c r="BN13" s="140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</row>
    <row r="14" spans="1:200" ht="15" customHeight="1" x14ac:dyDescent="0.2">
      <c r="A14" s="18"/>
      <c r="B14" s="18" t="str">
        <f t="shared" si="0"/>
        <v>[ROW:JUL_2016]</v>
      </c>
      <c r="C14" s="29">
        <f>IF(OR(Client_Info!$D$14="",Client_Info!$D$15=""),"",IF(EOMONTH(Client_Info!$D$14,6)&lt;=Client_Info!$D$15,EOMONTH(Client_Info!$D$14,6),""))</f>
        <v>42582</v>
      </c>
      <c r="D14" s="138"/>
      <c r="E14" s="138"/>
      <c r="F14" s="138"/>
      <c r="G14" s="143">
        <v>4.03</v>
      </c>
      <c r="H14" s="143">
        <v>-0.28999999999999998</v>
      </c>
      <c r="I14" s="143">
        <v>0.38</v>
      </c>
      <c r="J14" s="143">
        <v>-0.33</v>
      </c>
      <c r="K14" s="138"/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  <c r="Y14" s="138"/>
      <c r="Z14" s="138"/>
      <c r="AA14" s="143">
        <v>4.03</v>
      </c>
      <c r="AB14" s="143">
        <v>-0.33</v>
      </c>
      <c r="AC14" s="138"/>
      <c r="AD14" s="138"/>
      <c r="AE14" s="138"/>
      <c r="AF14" s="138"/>
      <c r="AG14" s="138"/>
      <c r="AH14" s="138"/>
      <c r="AI14" s="138"/>
      <c r="AJ14" s="138"/>
      <c r="AK14" s="138"/>
      <c r="AL14" s="138"/>
      <c r="AM14" s="138"/>
      <c r="AN14" s="138"/>
      <c r="AO14" s="138"/>
      <c r="AP14" s="138"/>
      <c r="AQ14" s="138"/>
      <c r="AR14" s="138"/>
      <c r="AS14" s="138"/>
      <c r="AT14" s="139"/>
      <c r="AU14" s="140"/>
      <c r="AV14" s="140"/>
      <c r="AW14" s="140"/>
      <c r="AX14" s="140"/>
      <c r="AY14" s="140"/>
      <c r="AZ14" s="140"/>
      <c r="BA14" s="140"/>
      <c r="BB14" s="140"/>
      <c r="BC14" s="140"/>
      <c r="BD14" s="140"/>
      <c r="BE14" s="140"/>
      <c r="BF14" s="140"/>
      <c r="BG14" s="140"/>
      <c r="BH14" s="140"/>
      <c r="BI14" s="140"/>
      <c r="BJ14" s="140"/>
      <c r="BK14" s="140"/>
      <c r="BL14" s="140"/>
      <c r="BM14" s="140"/>
      <c r="BN14" s="140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</row>
    <row r="15" spans="1:200" ht="15" customHeight="1" x14ac:dyDescent="0.2">
      <c r="A15" s="18"/>
      <c r="B15" s="18" t="str">
        <f t="shared" si="0"/>
        <v>[ROW:AUG_2016]</v>
      </c>
      <c r="C15" s="29">
        <f>IF(OR(Client_Info!$D$14="",Client_Info!$D$15=""),"",IF(EOMONTH(Client_Info!$D$14,7)&lt;=Client_Info!$D$15,EOMONTH(Client_Info!$D$14,7),""))</f>
        <v>42613</v>
      </c>
      <c r="D15" s="138"/>
      <c r="E15" s="138"/>
      <c r="F15" s="138"/>
      <c r="G15" s="143">
        <v>1.63</v>
      </c>
      <c r="H15" s="143">
        <v>-5.46</v>
      </c>
      <c r="I15" s="143">
        <v>0.49</v>
      </c>
      <c r="J15" s="143">
        <v>0.44</v>
      </c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  <c r="Z15" s="138"/>
      <c r="AA15" s="143">
        <v>1.63</v>
      </c>
      <c r="AB15" s="143">
        <v>0.44</v>
      </c>
      <c r="AC15" s="138"/>
      <c r="AD15" s="138"/>
      <c r="AE15" s="138"/>
      <c r="AF15" s="138"/>
      <c r="AG15" s="138"/>
      <c r="AH15" s="138"/>
      <c r="AI15" s="138"/>
      <c r="AJ15" s="138"/>
      <c r="AK15" s="138"/>
      <c r="AL15" s="138"/>
      <c r="AM15" s="138"/>
      <c r="AN15" s="138"/>
      <c r="AO15" s="138"/>
      <c r="AP15" s="138"/>
      <c r="AQ15" s="138"/>
      <c r="AR15" s="138"/>
      <c r="AS15" s="138"/>
      <c r="AT15" s="139"/>
      <c r="AU15" s="140"/>
      <c r="AV15" s="140"/>
      <c r="AW15" s="140"/>
      <c r="AX15" s="140"/>
      <c r="AY15" s="140"/>
      <c r="AZ15" s="140"/>
      <c r="BA15" s="140"/>
      <c r="BB15" s="140"/>
      <c r="BC15" s="140"/>
      <c r="BD15" s="140"/>
      <c r="BE15" s="140"/>
      <c r="BF15" s="140"/>
      <c r="BG15" s="140"/>
      <c r="BH15" s="140"/>
      <c r="BI15" s="140"/>
      <c r="BJ15" s="140"/>
      <c r="BK15" s="140"/>
      <c r="BL15" s="140"/>
      <c r="BM15" s="140"/>
      <c r="BN15" s="140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</row>
    <row r="16" spans="1:200" ht="15" customHeight="1" x14ac:dyDescent="0.2">
      <c r="A16" s="18"/>
      <c r="B16" s="18" t="str">
        <f t="shared" si="0"/>
        <v>[ROW:SEP_2016]</v>
      </c>
      <c r="C16" s="29">
        <f>IF(OR(Client_Info!$D$14="",Client_Info!$D$15=""),"",IF(EOMONTH(Client_Info!$D$14,8)&lt;=Client_Info!$D$15,EOMONTH(Client_Info!$D$14,8),""))</f>
        <v>42643</v>
      </c>
      <c r="D16" s="138"/>
      <c r="E16" s="138"/>
      <c r="F16" s="138"/>
      <c r="G16" s="143">
        <v>2.2400000000000002</v>
      </c>
      <c r="H16" s="143">
        <v>-3.54</v>
      </c>
      <c r="I16" s="143">
        <v>-0.83</v>
      </c>
      <c r="J16" s="143">
        <v>0.54</v>
      </c>
      <c r="K16" s="138"/>
      <c r="L16" s="138"/>
      <c r="M16" s="138"/>
      <c r="N16" s="138"/>
      <c r="O16" s="138"/>
      <c r="P16" s="138"/>
      <c r="Q16" s="138"/>
      <c r="R16" s="138"/>
      <c r="S16" s="138"/>
      <c r="T16" s="138"/>
      <c r="U16" s="138"/>
      <c r="V16" s="138"/>
      <c r="W16" s="138"/>
      <c r="X16" s="138"/>
      <c r="Y16" s="138"/>
      <c r="Z16" s="138"/>
      <c r="AA16" s="143">
        <v>2.2400000000000002</v>
      </c>
      <c r="AB16" s="143">
        <v>0.54</v>
      </c>
      <c r="AC16" s="138"/>
      <c r="AD16" s="138"/>
      <c r="AE16" s="138"/>
      <c r="AF16" s="138"/>
      <c r="AG16" s="138"/>
      <c r="AH16" s="138"/>
      <c r="AI16" s="138"/>
      <c r="AJ16" s="138"/>
      <c r="AK16" s="138"/>
      <c r="AL16" s="138"/>
      <c r="AM16" s="138"/>
      <c r="AN16" s="138"/>
      <c r="AO16" s="138"/>
      <c r="AP16" s="138"/>
      <c r="AQ16" s="138"/>
      <c r="AR16" s="138"/>
      <c r="AS16" s="138"/>
      <c r="AT16" s="139"/>
      <c r="AU16" s="140"/>
      <c r="AV16" s="140"/>
      <c r="AW16" s="140"/>
      <c r="AX16" s="140"/>
      <c r="AY16" s="140"/>
      <c r="AZ16" s="140"/>
      <c r="BA16" s="140"/>
      <c r="BB16" s="140"/>
      <c r="BC16" s="140"/>
      <c r="BD16" s="140"/>
      <c r="BE16" s="140"/>
      <c r="BF16" s="140"/>
      <c r="BG16" s="140"/>
      <c r="BH16" s="140"/>
      <c r="BI16" s="140"/>
      <c r="BJ16" s="140"/>
      <c r="BK16" s="140"/>
      <c r="BL16" s="140"/>
      <c r="BM16" s="140"/>
      <c r="BN16" s="140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</row>
    <row r="17" spans="1:200" ht="15" customHeight="1" x14ac:dyDescent="0.2">
      <c r="A17" s="18"/>
      <c r="B17" s="18" t="str">
        <f t="shared" si="0"/>
        <v>[ROW:OCT_2016]</v>
      </c>
      <c r="C17" s="29">
        <f>IF(OR(Client_Info!$D$14="",Client_Info!$D$15=""),"",IF(EOMONTH(Client_Info!$D$14,9)&lt;=Client_Info!$D$15,EOMONTH(Client_Info!$D$14,9),""))</f>
        <v>42674</v>
      </c>
      <c r="D17" s="138"/>
      <c r="E17" s="138"/>
      <c r="F17" s="138"/>
      <c r="G17" s="143">
        <v>2.16</v>
      </c>
      <c r="H17" s="143">
        <v>3.87</v>
      </c>
      <c r="I17" s="143">
        <v>1.1599999999999999</v>
      </c>
      <c r="J17" s="143">
        <v>-0.09</v>
      </c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8"/>
      <c r="AA17" s="143">
        <v>2.16</v>
      </c>
      <c r="AB17" s="143">
        <v>-0.09</v>
      </c>
      <c r="AC17" s="138"/>
      <c r="AD17" s="138"/>
      <c r="AE17" s="138"/>
      <c r="AF17" s="138"/>
      <c r="AG17" s="138"/>
      <c r="AH17" s="138"/>
      <c r="AI17" s="138"/>
      <c r="AJ17" s="138"/>
      <c r="AK17" s="138"/>
      <c r="AL17" s="138"/>
      <c r="AM17" s="138"/>
      <c r="AN17" s="138"/>
      <c r="AO17" s="138"/>
      <c r="AP17" s="138"/>
      <c r="AQ17" s="138"/>
      <c r="AR17" s="138"/>
      <c r="AS17" s="138"/>
      <c r="AT17" s="139"/>
      <c r="AU17" s="140"/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  <c r="BI17" s="140"/>
      <c r="BJ17" s="140"/>
      <c r="BK17" s="140"/>
      <c r="BL17" s="140"/>
      <c r="BM17" s="140"/>
      <c r="BN17" s="140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</row>
    <row r="18" spans="1:200" ht="15" customHeight="1" x14ac:dyDescent="0.2">
      <c r="A18" s="18"/>
      <c r="B18" s="18" t="str">
        <f t="shared" si="0"/>
        <v>[ROW:NOV_2016]</v>
      </c>
      <c r="C18" s="29">
        <f>IF(OR(Client_Info!$D$14="",Client_Info!$D$15=""),"",IF(EOMONTH(Client_Info!$D$14,10)&lt;=Client_Info!$D$15,EOMONTH(Client_Info!$D$14,10),""))</f>
        <v>42704</v>
      </c>
      <c r="D18" s="138"/>
      <c r="E18" s="138"/>
      <c r="F18" s="138"/>
      <c r="G18" s="143">
        <v>-1.81</v>
      </c>
      <c r="H18" s="143">
        <v>4.6399999999999997</v>
      </c>
      <c r="I18" s="143">
        <v>0.62</v>
      </c>
      <c r="J18" s="143">
        <v>0.89</v>
      </c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  <c r="X18" s="138"/>
      <c r="Y18" s="138"/>
      <c r="Z18" s="138"/>
      <c r="AA18" s="143">
        <v>-1.81</v>
      </c>
      <c r="AB18" s="143">
        <v>0.89</v>
      </c>
      <c r="AC18" s="138"/>
      <c r="AD18" s="138"/>
      <c r="AE18" s="138"/>
      <c r="AF18" s="138"/>
      <c r="AG18" s="138"/>
      <c r="AH18" s="138"/>
      <c r="AI18" s="138"/>
      <c r="AJ18" s="138"/>
      <c r="AK18" s="138"/>
      <c r="AL18" s="138"/>
      <c r="AM18" s="138"/>
      <c r="AN18" s="138"/>
      <c r="AO18" s="138"/>
      <c r="AP18" s="138"/>
      <c r="AQ18" s="138"/>
      <c r="AR18" s="138"/>
      <c r="AS18" s="138"/>
      <c r="AT18" s="139"/>
      <c r="AU18" s="140"/>
      <c r="AV18" s="140"/>
      <c r="AW18" s="140"/>
      <c r="AX18" s="140"/>
      <c r="AY18" s="140"/>
      <c r="AZ18" s="140"/>
      <c r="BA18" s="140"/>
      <c r="BB18" s="140"/>
      <c r="BC18" s="140"/>
      <c r="BD18" s="140"/>
      <c r="BE18" s="140"/>
      <c r="BF18" s="140"/>
      <c r="BG18" s="140"/>
      <c r="BH18" s="140"/>
      <c r="BI18" s="140"/>
      <c r="BJ18" s="140"/>
      <c r="BK18" s="140"/>
      <c r="BL18" s="140"/>
      <c r="BM18" s="140"/>
      <c r="BN18" s="140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</row>
    <row r="19" spans="1:200" ht="15" customHeight="1" x14ac:dyDescent="0.2">
      <c r="A19" s="18"/>
      <c r="B19" s="18" t="str">
        <f t="shared" si="0"/>
        <v>[ROW:DEC_2016]</v>
      </c>
      <c r="C19" s="29">
        <f>IF(OR(Client_Info!$D$14="",Client_Info!$D$15=""),"",IF(EOMONTH(Client_Info!$D$14,11)&lt;=Client_Info!$D$15,EOMONTH(Client_Info!$D$14,11),""))</f>
        <v>42735</v>
      </c>
      <c r="D19" s="138"/>
      <c r="E19" s="138"/>
      <c r="F19" s="138"/>
      <c r="G19" s="143">
        <v>1.49</v>
      </c>
      <c r="H19" s="143">
        <v>2.06</v>
      </c>
      <c r="I19" s="143">
        <v>0.68</v>
      </c>
      <c r="J19" s="143">
        <v>-0.34</v>
      </c>
      <c r="K19" s="138"/>
      <c r="L19" s="138"/>
      <c r="M19" s="138"/>
      <c r="N19" s="138"/>
      <c r="O19" s="138"/>
      <c r="P19" s="138"/>
      <c r="Q19" s="138"/>
      <c r="R19" s="138"/>
      <c r="S19" s="138"/>
      <c r="T19" s="138"/>
      <c r="U19" s="138"/>
      <c r="V19" s="138"/>
      <c r="W19" s="138"/>
      <c r="X19" s="138"/>
      <c r="Y19" s="138"/>
      <c r="Z19" s="138"/>
      <c r="AA19" s="143">
        <v>1.49</v>
      </c>
      <c r="AB19" s="143">
        <v>-0.34</v>
      </c>
      <c r="AC19" s="138"/>
      <c r="AD19" s="138"/>
      <c r="AE19" s="138"/>
      <c r="AF19" s="138"/>
      <c r="AG19" s="138"/>
      <c r="AH19" s="138"/>
      <c r="AI19" s="138"/>
      <c r="AJ19" s="138"/>
      <c r="AK19" s="138"/>
      <c r="AL19" s="138"/>
      <c r="AM19" s="138"/>
      <c r="AN19" s="138"/>
      <c r="AO19" s="138"/>
      <c r="AP19" s="138"/>
      <c r="AQ19" s="138"/>
      <c r="AR19" s="138"/>
      <c r="AS19" s="138"/>
      <c r="AT19" s="139"/>
      <c r="AU19" s="140"/>
      <c r="AV19" s="140"/>
      <c r="AW19" s="140"/>
      <c r="AX19" s="140"/>
      <c r="AY19" s="140"/>
      <c r="AZ19" s="140"/>
      <c r="BA19" s="140"/>
      <c r="BB19" s="140"/>
      <c r="BC19" s="140"/>
      <c r="BD19" s="140"/>
      <c r="BE19" s="140"/>
      <c r="BF19" s="140"/>
      <c r="BG19" s="140"/>
      <c r="BH19" s="140"/>
      <c r="BI19" s="140"/>
      <c r="BJ19" s="140"/>
      <c r="BK19" s="140"/>
      <c r="BL19" s="140"/>
      <c r="BM19" s="140"/>
      <c r="BN19" s="140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</row>
    <row r="20" spans="1:200" ht="15" customHeight="1" x14ac:dyDescent="0.2">
      <c r="A20" s="18"/>
      <c r="B20" s="18" t="str">
        <f t="shared" si="0"/>
        <v>[ROW:JAN_2017]</v>
      </c>
      <c r="C20" s="29">
        <f>IF(OR(Client_Info!$D$14="",Client_Info!$D$15=""),"",IF(EOMONTH(Client_Info!$D$14,12)&lt;=Client_Info!$D$15,EOMONTH(Client_Info!$D$14,12),""))</f>
        <v>42766</v>
      </c>
      <c r="D20" s="138"/>
      <c r="E20" s="138"/>
      <c r="F20" s="138"/>
      <c r="G20" s="143">
        <v>5.0999999999999996</v>
      </c>
      <c r="H20" s="143">
        <v>0.43</v>
      </c>
      <c r="I20" s="143">
        <v>0.65</v>
      </c>
      <c r="J20" s="143">
        <v>1.21</v>
      </c>
      <c r="K20" s="138"/>
      <c r="L20" s="138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8"/>
      <c r="AA20" s="143">
        <v>5.0999999999999996</v>
      </c>
      <c r="AB20" s="143">
        <v>1.21</v>
      </c>
      <c r="AC20" s="138"/>
      <c r="AD20" s="138"/>
      <c r="AE20" s="138"/>
      <c r="AF20" s="138"/>
      <c r="AG20" s="138"/>
      <c r="AH20" s="138"/>
      <c r="AI20" s="138"/>
      <c r="AJ20" s="138"/>
      <c r="AK20" s="138"/>
      <c r="AL20" s="138"/>
      <c r="AM20" s="138"/>
      <c r="AN20" s="138"/>
      <c r="AO20" s="138"/>
      <c r="AP20" s="138"/>
      <c r="AQ20" s="138"/>
      <c r="AR20" s="138"/>
      <c r="AS20" s="138"/>
      <c r="AT20" s="139"/>
      <c r="AU20" s="140"/>
      <c r="AV20" s="140"/>
      <c r="AW20" s="140"/>
      <c r="AX20" s="140"/>
      <c r="AY20" s="140"/>
      <c r="AZ20" s="140"/>
      <c r="BA20" s="140"/>
      <c r="BB20" s="140"/>
      <c r="BC20" s="140"/>
      <c r="BD20" s="140"/>
      <c r="BE20" s="140"/>
      <c r="BF20" s="140"/>
      <c r="BG20" s="140"/>
      <c r="BH20" s="140"/>
      <c r="BI20" s="140"/>
      <c r="BJ20" s="140"/>
      <c r="BK20" s="140"/>
      <c r="BL20" s="140"/>
      <c r="BM20" s="140"/>
      <c r="BN20" s="140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</row>
    <row r="21" spans="1:200" ht="15" customHeight="1" x14ac:dyDescent="0.2">
      <c r="A21" s="18"/>
      <c r="B21" s="18" t="str">
        <f t="shared" si="0"/>
        <v>[ROW:FEB_2017]</v>
      </c>
      <c r="C21" s="29">
        <f>IF(OR(Client_Info!$D$14="",Client_Info!$D$15=""),"",IF(EOMONTH(Client_Info!$D$14,13)&lt;=Client_Info!$D$15,EOMONTH(Client_Info!$D$14,13),""))</f>
        <v>42794</v>
      </c>
      <c r="D21" s="138"/>
      <c r="E21" s="138"/>
      <c r="F21" s="138"/>
      <c r="G21" s="143">
        <v>-1.93</v>
      </c>
      <c r="H21" s="143">
        <v>1.27</v>
      </c>
      <c r="I21" s="143">
        <v>1.71</v>
      </c>
      <c r="J21" s="143">
        <v>-1.35</v>
      </c>
      <c r="K21" s="138"/>
      <c r="L21" s="138"/>
      <c r="M21" s="138"/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138"/>
      <c r="Y21" s="138"/>
      <c r="Z21" s="138"/>
      <c r="AA21" s="143">
        <v>-1.93</v>
      </c>
      <c r="AB21" s="143">
        <v>-1.35</v>
      </c>
      <c r="AC21" s="138"/>
      <c r="AD21" s="138"/>
      <c r="AE21" s="138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  <c r="AP21" s="138"/>
      <c r="AQ21" s="138"/>
      <c r="AR21" s="138"/>
      <c r="AS21" s="138"/>
      <c r="AT21" s="139"/>
      <c r="AU21" s="140"/>
      <c r="AV21" s="140"/>
      <c r="AW21" s="140"/>
      <c r="AX21" s="140"/>
      <c r="AY21" s="140"/>
      <c r="AZ21" s="140"/>
      <c r="BA21" s="140"/>
      <c r="BB21" s="140"/>
      <c r="BC21" s="140"/>
      <c r="BD21" s="140"/>
      <c r="BE21" s="140"/>
      <c r="BF21" s="140"/>
      <c r="BG21" s="140"/>
      <c r="BH21" s="140"/>
      <c r="BI21" s="140"/>
      <c r="BJ21" s="140"/>
      <c r="BK21" s="140"/>
      <c r="BL21" s="140"/>
      <c r="BM21" s="140"/>
      <c r="BN21" s="140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</row>
    <row r="22" spans="1:200" ht="15" customHeight="1" x14ac:dyDescent="0.2">
      <c r="A22" s="18"/>
      <c r="B22" s="18" t="str">
        <f t="shared" si="0"/>
        <v>[ROW:MAR_2017]</v>
      </c>
      <c r="C22" s="29">
        <f>IF(OR(Client_Info!$D$14="",Client_Info!$D$15=""),"",IF(EOMONTH(Client_Info!$D$14,14)&lt;=Client_Info!$D$15,EOMONTH(Client_Info!$D$14,14),""))</f>
        <v>42825</v>
      </c>
      <c r="D22" s="138"/>
      <c r="E22" s="138"/>
      <c r="F22" s="138"/>
      <c r="G22" s="143">
        <v>-3.17</v>
      </c>
      <c r="H22" s="143">
        <v>6.65</v>
      </c>
      <c r="I22" s="143">
        <v>1.08</v>
      </c>
      <c r="J22" s="143">
        <v>0.35</v>
      </c>
      <c r="K22" s="138"/>
      <c r="L22" s="138"/>
      <c r="M22" s="138"/>
      <c r="N22" s="138"/>
      <c r="O22" s="138"/>
      <c r="P22" s="138"/>
      <c r="Q22" s="138"/>
      <c r="R22" s="138"/>
      <c r="S22" s="138"/>
      <c r="T22" s="138"/>
      <c r="U22" s="138"/>
      <c r="V22" s="138"/>
      <c r="W22" s="138"/>
      <c r="X22" s="138"/>
      <c r="Y22" s="138"/>
      <c r="Z22" s="138"/>
      <c r="AA22" s="143">
        <v>-3.17</v>
      </c>
      <c r="AB22" s="143">
        <v>0.35</v>
      </c>
      <c r="AC22" s="138"/>
      <c r="AD22" s="138"/>
      <c r="AE22" s="138"/>
      <c r="AF22" s="138"/>
      <c r="AG22" s="138"/>
      <c r="AH22" s="138"/>
      <c r="AI22" s="138"/>
      <c r="AJ22" s="138"/>
      <c r="AK22" s="138"/>
      <c r="AL22" s="138"/>
      <c r="AM22" s="138"/>
      <c r="AN22" s="138"/>
      <c r="AO22" s="138"/>
      <c r="AP22" s="138"/>
      <c r="AQ22" s="138"/>
      <c r="AR22" s="138"/>
      <c r="AS22" s="138"/>
      <c r="AT22" s="139"/>
      <c r="AU22" s="140"/>
      <c r="AV22" s="140"/>
      <c r="AW22" s="140"/>
      <c r="AX22" s="140"/>
      <c r="AY22" s="140"/>
      <c r="AZ22" s="140"/>
      <c r="BA22" s="140"/>
      <c r="BB22" s="140"/>
      <c r="BC22" s="140"/>
      <c r="BD22" s="140"/>
      <c r="BE22" s="140"/>
      <c r="BF22" s="140"/>
      <c r="BG22" s="140"/>
      <c r="BH22" s="140"/>
      <c r="BI22" s="140"/>
      <c r="BJ22" s="140"/>
      <c r="BK22" s="140"/>
      <c r="BL22" s="140"/>
      <c r="BM22" s="140"/>
      <c r="BN22" s="140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</row>
    <row r="23" spans="1:200" ht="15" customHeight="1" x14ac:dyDescent="0.2">
      <c r="A23" s="18"/>
      <c r="B23" s="18" t="str">
        <f t="shared" si="0"/>
        <v>[ROW:APR_2017]</v>
      </c>
      <c r="C23" s="29">
        <f>IF(OR(Client_Info!$D$14="",Client_Info!$D$15=""),"",IF(EOMONTH(Client_Info!$D$14,15)&lt;=Client_Info!$D$15,EOMONTH(Client_Info!$D$14,15),""))</f>
        <v>42855</v>
      </c>
      <c r="D23" s="138"/>
      <c r="E23" s="138"/>
      <c r="F23" s="138"/>
      <c r="G23" s="143">
        <v>-1.62</v>
      </c>
      <c r="H23" s="143">
        <v>4.54</v>
      </c>
      <c r="I23" s="143">
        <v>0.37</v>
      </c>
      <c r="J23" s="143">
        <v>2.4500000000000002</v>
      </c>
      <c r="K23" s="138"/>
      <c r="L23" s="138"/>
      <c r="M23" s="138"/>
      <c r="N23" s="138"/>
      <c r="O23" s="138"/>
      <c r="P23" s="138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43">
        <v>-1.62</v>
      </c>
      <c r="AB23" s="143">
        <v>2.4500000000000002</v>
      </c>
      <c r="AC23" s="138"/>
      <c r="AD23" s="138"/>
      <c r="AE23" s="138"/>
      <c r="AF23" s="138"/>
      <c r="AG23" s="138"/>
      <c r="AH23" s="138"/>
      <c r="AI23" s="138"/>
      <c r="AJ23" s="138"/>
      <c r="AK23" s="138"/>
      <c r="AL23" s="138"/>
      <c r="AM23" s="138"/>
      <c r="AN23" s="138"/>
      <c r="AO23" s="138"/>
      <c r="AP23" s="138"/>
      <c r="AQ23" s="138"/>
      <c r="AR23" s="138"/>
      <c r="AS23" s="138"/>
      <c r="AT23" s="139"/>
      <c r="AU23" s="140"/>
      <c r="AV23" s="140"/>
      <c r="AW23" s="140"/>
      <c r="AX23" s="140"/>
      <c r="AY23" s="140"/>
      <c r="AZ23" s="140"/>
      <c r="BA23" s="140"/>
      <c r="BB23" s="140"/>
      <c r="BC23" s="140"/>
      <c r="BD23" s="140"/>
      <c r="BE23" s="140"/>
      <c r="BF23" s="140"/>
      <c r="BG23" s="140"/>
      <c r="BH23" s="140"/>
      <c r="BI23" s="140"/>
      <c r="BJ23" s="140"/>
      <c r="BK23" s="140"/>
      <c r="BL23" s="140"/>
      <c r="BM23" s="140"/>
      <c r="BN23" s="140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</row>
    <row r="24" spans="1:200" ht="15" customHeight="1" x14ac:dyDescent="0.2">
      <c r="A24" s="18"/>
      <c r="B24" s="18" t="str">
        <f t="shared" si="0"/>
        <v>[ROW:MAY_2017]</v>
      </c>
      <c r="C24" s="29">
        <f>IF(OR(Client_Info!$D$14="",Client_Info!$D$15=""),"",IF(EOMONTH(Client_Info!$D$14,16)&lt;=Client_Info!$D$15,EOMONTH(Client_Info!$D$14,16),""))</f>
        <v>42886</v>
      </c>
      <c r="D24" s="138"/>
      <c r="E24" s="138"/>
      <c r="F24" s="138"/>
      <c r="G24" s="143">
        <v>0.4</v>
      </c>
      <c r="H24" s="143">
        <v>2.42</v>
      </c>
      <c r="I24" s="143">
        <v>-0.19</v>
      </c>
      <c r="J24" s="143">
        <v>-0.95</v>
      </c>
      <c r="K24" s="138"/>
      <c r="L24" s="138"/>
      <c r="M24" s="138"/>
      <c r="N24" s="138"/>
      <c r="O24" s="138"/>
      <c r="P24" s="138"/>
      <c r="Q24" s="138"/>
      <c r="R24" s="138"/>
      <c r="S24" s="138"/>
      <c r="T24" s="138"/>
      <c r="U24" s="138"/>
      <c r="V24" s="138"/>
      <c r="W24" s="138"/>
      <c r="X24" s="138"/>
      <c r="Y24" s="138"/>
      <c r="Z24" s="138"/>
      <c r="AA24" s="143">
        <v>0.4</v>
      </c>
      <c r="AB24" s="143">
        <v>-0.95</v>
      </c>
      <c r="AC24" s="138"/>
      <c r="AD24" s="138"/>
      <c r="AE24" s="138"/>
      <c r="AF24" s="138"/>
      <c r="AG24" s="138"/>
      <c r="AH24" s="138"/>
      <c r="AI24" s="138"/>
      <c r="AJ24" s="138"/>
      <c r="AK24" s="138"/>
      <c r="AL24" s="138"/>
      <c r="AM24" s="138"/>
      <c r="AN24" s="138"/>
      <c r="AO24" s="138"/>
      <c r="AP24" s="138"/>
      <c r="AQ24" s="138"/>
      <c r="AR24" s="138"/>
      <c r="AS24" s="138"/>
      <c r="AT24" s="139"/>
      <c r="AU24" s="140"/>
      <c r="AV24" s="140"/>
      <c r="AW24" s="140"/>
      <c r="AX24" s="140"/>
      <c r="AY24" s="140"/>
      <c r="AZ24" s="140"/>
      <c r="BA24" s="140"/>
      <c r="BB24" s="140"/>
      <c r="BC24" s="140"/>
      <c r="BD24" s="140"/>
      <c r="BE24" s="140"/>
      <c r="BF24" s="140"/>
      <c r="BG24" s="140"/>
      <c r="BH24" s="140"/>
      <c r="BI24" s="140"/>
      <c r="BJ24" s="140"/>
      <c r="BK24" s="140"/>
      <c r="BL24" s="140"/>
      <c r="BM24" s="140"/>
      <c r="BN24" s="140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</row>
    <row r="25" spans="1:200" ht="15" customHeight="1" x14ac:dyDescent="0.2">
      <c r="A25" s="18"/>
      <c r="B25" s="18" t="str">
        <f t="shared" si="0"/>
        <v>[ROW:JUN_2017]</v>
      </c>
      <c r="C25" s="29">
        <f>IF(OR(Client_Info!$D$14="",Client_Info!$D$15=""),"",IF(EOMONTH(Client_Info!$D$14,17)&lt;=Client_Info!$D$15,EOMONTH(Client_Info!$D$14,17),""))</f>
        <v>42916</v>
      </c>
      <c r="D25" s="138"/>
      <c r="E25" s="138"/>
      <c r="F25" s="138"/>
      <c r="G25" s="143">
        <v>0.8</v>
      </c>
      <c r="H25" s="143">
        <v>3.81</v>
      </c>
      <c r="I25" s="143">
        <v>-0.63</v>
      </c>
      <c r="J25" s="143">
        <v>-0.56999999999999995</v>
      </c>
      <c r="K25" s="138"/>
      <c r="L25" s="138"/>
      <c r="M25" s="138"/>
      <c r="N25" s="138"/>
      <c r="O25" s="138"/>
      <c r="P25" s="138"/>
      <c r="Q25" s="138"/>
      <c r="R25" s="138"/>
      <c r="S25" s="138"/>
      <c r="T25" s="138"/>
      <c r="U25" s="138"/>
      <c r="V25" s="138"/>
      <c r="W25" s="138"/>
      <c r="X25" s="138"/>
      <c r="Y25" s="138"/>
      <c r="Z25" s="138"/>
      <c r="AA25" s="143">
        <v>0.8</v>
      </c>
      <c r="AB25" s="143">
        <v>-0.56999999999999995</v>
      </c>
      <c r="AC25" s="138"/>
      <c r="AD25" s="138"/>
      <c r="AE25" s="138"/>
      <c r="AF25" s="138"/>
      <c r="AG25" s="138"/>
      <c r="AH25" s="138"/>
      <c r="AI25" s="138"/>
      <c r="AJ25" s="138"/>
      <c r="AK25" s="138"/>
      <c r="AL25" s="138"/>
      <c r="AM25" s="138"/>
      <c r="AN25" s="138"/>
      <c r="AO25" s="138"/>
      <c r="AP25" s="138"/>
      <c r="AQ25" s="138"/>
      <c r="AR25" s="138"/>
      <c r="AS25" s="138"/>
      <c r="AT25" s="139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</row>
    <row r="26" spans="1:200" ht="15" customHeight="1" x14ac:dyDescent="0.2">
      <c r="A26" s="18"/>
      <c r="B26" s="18" t="str">
        <f t="shared" si="0"/>
        <v>[ROW:JUL_2017]</v>
      </c>
      <c r="C26" s="29">
        <f>IF(OR(Client_Info!$D$14="",Client_Info!$D$15=""),"",IF(EOMONTH(Client_Info!$D$14,18)&lt;=Client_Info!$D$15,EOMONTH(Client_Info!$D$14,18),""))</f>
        <v>42947</v>
      </c>
      <c r="D26" s="138"/>
      <c r="E26" s="138"/>
      <c r="F26" s="138"/>
      <c r="G26" s="143">
        <v>0.71</v>
      </c>
      <c r="H26" s="143">
        <v>3.57</v>
      </c>
      <c r="I26" s="143">
        <v>0.7</v>
      </c>
      <c r="J26" s="143">
        <v>0.8</v>
      </c>
      <c r="K26" s="138"/>
      <c r="L26" s="138"/>
      <c r="M26" s="138"/>
      <c r="N26" s="138"/>
      <c r="O26" s="138"/>
      <c r="P26" s="138"/>
      <c r="Q26" s="138"/>
      <c r="R26" s="138"/>
      <c r="S26" s="138"/>
      <c r="T26" s="138"/>
      <c r="U26" s="138"/>
      <c r="V26" s="138"/>
      <c r="W26" s="138"/>
      <c r="X26" s="138"/>
      <c r="Y26" s="138"/>
      <c r="Z26" s="138"/>
      <c r="AA26" s="143">
        <v>0.71</v>
      </c>
      <c r="AB26" s="143">
        <v>0.8</v>
      </c>
      <c r="AC26" s="138"/>
      <c r="AD26" s="138"/>
      <c r="AE26" s="138"/>
      <c r="AF26" s="138"/>
      <c r="AG26" s="138"/>
      <c r="AH26" s="138"/>
      <c r="AI26" s="138"/>
      <c r="AJ26" s="138"/>
      <c r="AK26" s="138"/>
      <c r="AL26" s="138"/>
      <c r="AM26" s="138"/>
      <c r="AN26" s="138"/>
      <c r="AO26" s="138"/>
      <c r="AP26" s="138"/>
      <c r="AQ26" s="138"/>
      <c r="AR26" s="138"/>
      <c r="AS26" s="138"/>
      <c r="AT26" s="139"/>
      <c r="AU26" s="140"/>
      <c r="AV26" s="140"/>
      <c r="AW26" s="140"/>
      <c r="AX26" s="140"/>
      <c r="AY26" s="140"/>
      <c r="AZ26" s="140"/>
      <c r="BA26" s="140"/>
      <c r="BB26" s="140"/>
      <c r="BC26" s="140"/>
      <c r="BD26" s="140"/>
      <c r="BE26" s="140"/>
      <c r="BF26" s="140"/>
      <c r="BG26" s="140"/>
      <c r="BH26" s="140"/>
      <c r="BI26" s="140"/>
      <c r="BJ26" s="140"/>
      <c r="BK26" s="140"/>
      <c r="BL26" s="140"/>
      <c r="BM26" s="140"/>
      <c r="BN26" s="140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</row>
    <row r="27" spans="1:200" ht="15" customHeight="1" x14ac:dyDescent="0.2">
      <c r="A27" s="18"/>
      <c r="B27" s="18" t="str">
        <f t="shared" si="0"/>
        <v>[ROW:AUG_2017]</v>
      </c>
      <c r="C27" s="29">
        <f>IF(OR(Client_Info!$D$14="",Client_Info!$D$15=""),"",IF(EOMONTH(Client_Info!$D$14,19)&lt;=Client_Info!$D$15,EOMONTH(Client_Info!$D$14,19),""))</f>
        <v>42978</v>
      </c>
      <c r="D27" s="138"/>
      <c r="E27" s="138"/>
      <c r="F27" s="138"/>
      <c r="G27" s="143">
        <v>-2.5299999999999998</v>
      </c>
      <c r="H27" s="143">
        <v>1.33</v>
      </c>
      <c r="I27" s="143">
        <v>1.64</v>
      </c>
      <c r="J27" s="143">
        <v>0.42</v>
      </c>
      <c r="K27" s="138"/>
      <c r="L27" s="138"/>
      <c r="M27" s="138"/>
      <c r="N27" s="138"/>
      <c r="O27" s="138"/>
      <c r="P27" s="138"/>
      <c r="Q27" s="138"/>
      <c r="R27" s="138"/>
      <c r="S27" s="138"/>
      <c r="T27" s="138"/>
      <c r="U27" s="138"/>
      <c r="V27" s="138"/>
      <c r="W27" s="138"/>
      <c r="X27" s="138"/>
      <c r="Y27" s="138"/>
      <c r="Z27" s="138"/>
      <c r="AA27" s="143">
        <v>-2.5299999999999998</v>
      </c>
      <c r="AB27" s="143">
        <v>0.42</v>
      </c>
      <c r="AC27" s="138"/>
      <c r="AD27" s="138"/>
      <c r="AE27" s="138"/>
      <c r="AF27" s="138"/>
      <c r="AG27" s="138"/>
      <c r="AH27" s="138"/>
      <c r="AI27" s="138"/>
      <c r="AJ27" s="138"/>
      <c r="AK27" s="138"/>
      <c r="AL27" s="138"/>
      <c r="AM27" s="138"/>
      <c r="AN27" s="138"/>
      <c r="AO27" s="138"/>
      <c r="AP27" s="138"/>
      <c r="AQ27" s="138"/>
      <c r="AR27" s="138"/>
      <c r="AS27" s="138"/>
      <c r="AT27" s="139"/>
      <c r="AU27" s="140"/>
      <c r="AV27" s="140"/>
      <c r="AW27" s="140"/>
      <c r="AX27" s="140"/>
      <c r="AY27" s="140"/>
      <c r="AZ27" s="140"/>
      <c r="BA27" s="140"/>
      <c r="BB27" s="140"/>
      <c r="BC27" s="140"/>
      <c r="BD27" s="140"/>
      <c r="BE27" s="140"/>
      <c r="BF27" s="140"/>
      <c r="BG27" s="140"/>
      <c r="BH27" s="140"/>
      <c r="BI27" s="140"/>
      <c r="BJ27" s="140"/>
      <c r="BK27" s="140"/>
      <c r="BL27" s="140"/>
      <c r="BM27" s="140"/>
      <c r="BN27" s="140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</row>
    <row r="28" spans="1:200" ht="15" customHeight="1" x14ac:dyDescent="0.2">
      <c r="A28" s="18"/>
      <c r="B28" s="18" t="str">
        <f t="shared" si="0"/>
        <v>[ROW:SEP_2017]</v>
      </c>
      <c r="C28" s="29">
        <f>IF(OR(Client_Info!$D$14="",Client_Info!$D$15=""),"",IF(EOMONTH(Client_Info!$D$14,20)&lt;=Client_Info!$D$15,EOMONTH(Client_Info!$D$14,20),""))</f>
        <v>43008</v>
      </c>
      <c r="D28" s="138"/>
      <c r="E28" s="138"/>
      <c r="F28" s="138"/>
      <c r="G28" s="143">
        <v>2.7</v>
      </c>
      <c r="H28" s="143">
        <v>-0.26</v>
      </c>
      <c r="I28" s="143">
        <v>0.66</v>
      </c>
      <c r="J28" s="143">
        <v>0.61</v>
      </c>
      <c r="K28" s="138"/>
      <c r="L28" s="138"/>
      <c r="M28" s="138"/>
      <c r="N28" s="138"/>
      <c r="O28" s="138"/>
      <c r="P28" s="138"/>
      <c r="Q28" s="138"/>
      <c r="R28" s="138"/>
      <c r="S28" s="138"/>
      <c r="T28" s="138"/>
      <c r="U28" s="138"/>
      <c r="V28" s="138"/>
      <c r="W28" s="138"/>
      <c r="X28" s="138"/>
      <c r="Y28" s="138"/>
      <c r="Z28" s="138"/>
      <c r="AA28" s="143">
        <v>2.7</v>
      </c>
      <c r="AB28" s="143">
        <v>0.61</v>
      </c>
      <c r="AC28" s="138"/>
      <c r="AD28" s="138"/>
      <c r="AE28" s="138"/>
      <c r="AF28" s="138"/>
      <c r="AG28" s="138"/>
      <c r="AH28" s="138"/>
      <c r="AI28" s="138"/>
      <c r="AJ28" s="138"/>
      <c r="AK28" s="138"/>
      <c r="AL28" s="138"/>
      <c r="AM28" s="138"/>
      <c r="AN28" s="138"/>
      <c r="AO28" s="138"/>
      <c r="AP28" s="138"/>
      <c r="AQ28" s="138"/>
      <c r="AR28" s="138"/>
      <c r="AS28" s="138"/>
      <c r="AT28" s="139"/>
      <c r="AU28" s="140"/>
      <c r="AV28" s="140"/>
      <c r="AW28" s="140"/>
      <c r="AX28" s="140"/>
      <c r="AY28" s="140"/>
      <c r="AZ28" s="140"/>
      <c r="BA28" s="140"/>
      <c r="BB28" s="140"/>
      <c r="BC28" s="140"/>
      <c r="BD28" s="140"/>
      <c r="BE28" s="140"/>
      <c r="BF28" s="140"/>
      <c r="BG28" s="140"/>
      <c r="BH28" s="140"/>
      <c r="BI28" s="140"/>
      <c r="BJ28" s="140"/>
      <c r="BK28" s="140"/>
      <c r="BL28" s="140"/>
      <c r="BM28" s="140"/>
      <c r="BN28" s="140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</row>
    <row r="29" spans="1:200" ht="15" customHeight="1" x14ac:dyDescent="0.2">
      <c r="A29" s="18"/>
      <c r="B29" s="18" t="str">
        <f t="shared" si="0"/>
        <v>[ROW:OCT_2017]</v>
      </c>
      <c r="C29" s="29">
        <f>IF(OR(Client_Info!$D$14="",Client_Info!$D$15=""),"",IF(EOMONTH(Client_Info!$D$14,21)&lt;=Client_Info!$D$15,EOMONTH(Client_Info!$D$14,21),""))</f>
        <v>43039</v>
      </c>
      <c r="D29" s="138"/>
      <c r="E29" s="138"/>
      <c r="F29" s="138"/>
      <c r="G29" s="143">
        <v>0.1</v>
      </c>
      <c r="H29" s="143">
        <v>3.71</v>
      </c>
      <c r="I29" s="143">
        <v>-1.5</v>
      </c>
      <c r="J29" s="143">
        <v>0.77</v>
      </c>
      <c r="K29" s="138"/>
      <c r="L29" s="138"/>
      <c r="M29" s="138"/>
      <c r="N29" s="138"/>
      <c r="O29" s="138"/>
      <c r="P29" s="138"/>
      <c r="Q29" s="138"/>
      <c r="R29" s="138"/>
      <c r="S29" s="138"/>
      <c r="T29" s="138"/>
      <c r="U29" s="138"/>
      <c r="V29" s="138"/>
      <c r="W29" s="138"/>
      <c r="X29" s="138"/>
      <c r="Y29" s="138"/>
      <c r="Z29" s="138"/>
      <c r="AA29" s="143">
        <v>0.1</v>
      </c>
      <c r="AB29" s="143">
        <v>0.77</v>
      </c>
      <c r="AC29" s="138"/>
      <c r="AD29" s="138"/>
      <c r="AE29" s="138"/>
      <c r="AF29" s="138"/>
      <c r="AG29" s="138"/>
      <c r="AH29" s="138"/>
      <c r="AI29" s="138"/>
      <c r="AJ29" s="138"/>
      <c r="AK29" s="138"/>
      <c r="AL29" s="138"/>
      <c r="AM29" s="138"/>
      <c r="AN29" s="138"/>
      <c r="AO29" s="138"/>
      <c r="AP29" s="138"/>
      <c r="AQ29" s="138"/>
      <c r="AR29" s="138"/>
      <c r="AS29" s="138"/>
      <c r="AT29" s="139"/>
      <c r="AU29" s="140"/>
      <c r="AV29" s="140"/>
      <c r="AW29" s="140"/>
      <c r="AX29" s="140"/>
      <c r="AY29" s="140"/>
      <c r="AZ29" s="140"/>
      <c r="BA29" s="140"/>
      <c r="BB29" s="140"/>
      <c r="BC29" s="140"/>
      <c r="BD29" s="140"/>
      <c r="BE29" s="140"/>
      <c r="BF29" s="140"/>
      <c r="BG29" s="140"/>
      <c r="BH29" s="140"/>
      <c r="BI29" s="140"/>
      <c r="BJ29" s="140"/>
      <c r="BK29" s="140"/>
      <c r="BL29" s="140"/>
      <c r="BM29" s="140"/>
      <c r="BN29" s="140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</row>
    <row r="30" spans="1:200" ht="15" customHeight="1" x14ac:dyDescent="0.2">
      <c r="A30" s="18"/>
      <c r="B30" s="18" t="str">
        <f t="shared" si="0"/>
        <v>[ROW:NOV_2017]</v>
      </c>
      <c r="C30" s="29">
        <f>IF(OR(Client_Info!$D$14="",Client_Info!$D$15=""),"",IF(EOMONTH(Client_Info!$D$14,22)&lt;=Client_Info!$D$15,EOMONTH(Client_Info!$D$14,22),""))</f>
        <v>43069</v>
      </c>
      <c r="D30" s="138"/>
      <c r="E30" s="138"/>
      <c r="F30" s="138"/>
      <c r="G30" s="143">
        <v>-4.9000000000000004</v>
      </c>
      <c r="H30" s="143">
        <v>8.5</v>
      </c>
      <c r="I30" s="143">
        <v>2.0499999999999998</v>
      </c>
      <c r="J30" s="143">
        <v>0.94</v>
      </c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  <c r="Y30" s="138"/>
      <c r="Z30" s="138"/>
      <c r="AA30" s="143">
        <v>-4.9000000000000004</v>
      </c>
      <c r="AB30" s="143">
        <v>0.94</v>
      </c>
      <c r="AC30" s="138"/>
      <c r="AD30" s="138"/>
      <c r="AE30" s="138"/>
      <c r="AF30" s="138"/>
      <c r="AG30" s="138"/>
      <c r="AH30" s="138"/>
      <c r="AI30" s="138"/>
      <c r="AJ30" s="138"/>
      <c r="AK30" s="138"/>
      <c r="AL30" s="138"/>
      <c r="AM30" s="138"/>
      <c r="AN30" s="138"/>
      <c r="AO30" s="138"/>
      <c r="AP30" s="138"/>
      <c r="AQ30" s="138"/>
      <c r="AR30" s="138"/>
      <c r="AS30" s="138"/>
      <c r="AT30" s="139"/>
      <c r="AU30" s="140"/>
      <c r="AV30" s="140"/>
      <c r="AW30" s="140"/>
      <c r="AX30" s="140"/>
      <c r="AY30" s="140"/>
      <c r="AZ30" s="140"/>
      <c r="BA30" s="140"/>
      <c r="BB30" s="140"/>
      <c r="BC30" s="140"/>
      <c r="BD30" s="140"/>
      <c r="BE30" s="140"/>
      <c r="BF30" s="140"/>
      <c r="BG30" s="140"/>
      <c r="BH30" s="140"/>
      <c r="BI30" s="140"/>
      <c r="BJ30" s="140"/>
      <c r="BK30" s="140"/>
      <c r="BL30" s="140"/>
      <c r="BM30" s="140"/>
      <c r="BN30" s="140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</row>
    <row r="31" spans="1:200" ht="15" customHeight="1" x14ac:dyDescent="0.2">
      <c r="A31" s="18"/>
      <c r="B31" s="18" t="str">
        <f t="shared" si="0"/>
        <v>[ROW:DEC_2017]</v>
      </c>
      <c r="C31" s="29">
        <f>IF(OR(Client_Info!$D$14="",Client_Info!$D$15=""),"",IF(EOMONTH(Client_Info!$D$14,23)&lt;=Client_Info!$D$15,EOMONTH(Client_Info!$D$14,23),""))</f>
        <v>43100</v>
      </c>
      <c r="D31" s="138"/>
      <c r="E31" s="138"/>
      <c r="F31" s="138"/>
      <c r="G31" s="143">
        <v>-4.13</v>
      </c>
      <c r="H31" s="143">
        <v>9.0299999999999994</v>
      </c>
      <c r="I31" s="143">
        <v>0.75</v>
      </c>
      <c r="J31" s="143">
        <v>1.49</v>
      </c>
      <c r="K31" s="138"/>
      <c r="L31" s="138"/>
      <c r="M31" s="138"/>
      <c r="N31" s="138"/>
      <c r="O31" s="138"/>
      <c r="P31" s="138"/>
      <c r="Q31" s="138"/>
      <c r="R31" s="138"/>
      <c r="S31" s="138"/>
      <c r="T31" s="138"/>
      <c r="U31" s="138"/>
      <c r="V31" s="138"/>
      <c r="W31" s="138"/>
      <c r="X31" s="138"/>
      <c r="Y31" s="138"/>
      <c r="Z31" s="138"/>
      <c r="AA31" s="143">
        <v>-4.13</v>
      </c>
      <c r="AB31" s="143">
        <v>1.49</v>
      </c>
      <c r="AC31" s="138"/>
      <c r="AD31" s="138"/>
      <c r="AE31" s="138"/>
      <c r="AF31" s="138"/>
      <c r="AG31" s="138"/>
      <c r="AH31" s="138"/>
      <c r="AI31" s="138"/>
      <c r="AJ31" s="138"/>
      <c r="AK31" s="138"/>
      <c r="AL31" s="138"/>
      <c r="AM31" s="138"/>
      <c r="AN31" s="138"/>
      <c r="AO31" s="138"/>
      <c r="AP31" s="138"/>
      <c r="AQ31" s="138"/>
      <c r="AR31" s="138"/>
      <c r="AS31" s="138"/>
      <c r="AT31" s="139"/>
      <c r="AU31" s="140"/>
      <c r="AV31" s="140"/>
      <c r="AW31" s="140"/>
      <c r="AX31" s="140"/>
      <c r="AY31" s="140"/>
      <c r="AZ31" s="140"/>
      <c r="BA31" s="140"/>
      <c r="BB31" s="140"/>
      <c r="BC31" s="140"/>
      <c r="BD31" s="140"/>
      <c r="BE31" s="140"/>
      <c r="BF31" s="140"/>
      <c r="BG31" s="140"/>
      <c r="BH31" s="140"/>
      <c r="BI31" s="140"/>
      <c r="BJ31" s="140"/>
      <c r="BK31" s="140"/>
      <c r="BL31" s="140"/>
      <c r="BM31" s="140"/>
      <c r="BN31" s="140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</row>
    <row r="32" spans="1:200" ht="15" customHeight="1" x14ac:dyDescent="0.2">
      <c r="A32" s="18"/>
      <c r="B32" s="18" t="str">
        <f t="shared" si="0"/>
        <v>[ROW:JAN_2018]</v>
      </c>
      <c r="C32" s="29">
        <f>IF(OR(Client_Info!$D$14="",Client_Info!$D$15=""),"",IF(EOMONTH(Client_Info!$D$14,24)&lt;=Client_Info!$D$15,EOMONTH(Client_Info!$D$14,24),""))</f>
        <v>43131</v>
      </c>
      <c r="D32" s="138"/>
      <c r="E32" s="138"/>
      <c r="F32" s="138"/>
      <c r="G32" s="143">
        <v>-1.52</v>
      </c>
      <c r="H32" s="143">
        <v>6.51</v>
      </c>
      <c r="I32" s="143">
        <v>1.4</v>
      </c>
      <c r="J32" s="143">
        <v>0.68</v>
      </c>
      <c r="K32" s="138"/>
      <c r="L32" s="138"/>
      <c r="M32" s="138"/>
      <c r="N32" s="138"/>
      <c r="O32" s="138"/>
      <c r="P32" s="138"/>
      <c r="Q32" s="138"/>
      <c r="R32" s="138"/>
      <c r="S32" s="138"/>
      <c r="T32" s="138"/>
      <c r="U32" s="138"/>
      <c r="V32" s="138"/>
      <c r="W32" s="138"/>
      <c r="X32" s="138"/>
      <c r="Y32" s="138"/>
      <c r="Z32" s="138"/>
      <c r="AA32" s="143">
        <v>-1.52</v>
      </c>
      <c r="AB32" s="143">
        <v>0.68</v>
      </c>
      <c r="AC32" s="138"/>
      <c r="AD32" s="138"/>
      <c r="AE32" s="138"/>
      <c r="AF32" s="138"/>
      <c r="AG32" s="138"/>
      <c r="AH32" s="138"/>
      <c r="AI32" s="138"/>
      <c r="AJ32" s="138"/>
      <c r="AK32" s="138"/>
      <c r="AL32" s="138"/>
      <c r="AM32" s="138"/>
      <c r="AN32" s="138"/>
      <c r="AO32" s="138"/>
      <c r="AP32" s="138"/>
      <c r="AQ32" s="138"/>
      <c r="AR32" s="138"/>
      <c r="AS32" s="138"/>
      <c r="AT32" s="139"/>
      <c r="AU32" s="140"/>
      <c r="AV32" s="140"/>
      <c r="AW32" s="140"/>
      <c r="AX32" s="140"/>
      <c r="AY32" s="140"/>
      <c r="AZ32" s="140"/>
      <c r="BA32" s="140"/>
      <c r="BB32" s="140"/>
      <c r="BC32" s="140"/>
      <c r="BD32" s="140"/>
      <c r="BE32" s="140"/>
      <c r="BF32" s="140"/>
      <c r="BG32" s="140"/>
      <c r="BH32" s="140"/>
      <c r="BI32" s="140"/>
      <c r="BJ32" s="140"/>
      <c r="BK32" s="140"/>
      <c r="BL32" s="140"/>
      <c r="BM32" s="140"/>
      <c r="BN32" s="140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</row>
    <row r="33" spans="1:200" ht="15" customHeight="1" x14ac:dyDescent="0.2">
      <c r="A33" s="18"/>
      <c r="B33" s="18" t="str">
        <f t="shared" si="0"/>
        <v>[ROW:FEB_2018]</v>
      </c>
      <c r="C33" s="29">
        <f>IF(OR(Client_Info!$D$14="",Client_Info!$D$15=""),"",IF(EOMONTH(Client_Info!$D$14,25)&lt;=Client_Info!$D$15,EOMONTH(Client_Info!$D$14,25),""))</f>
        <v>43159</v>
      </c>
      <c r="D33" s="138"/>
      <c r="E33" s="138"/>
      <c r="F33" s="138"/>
      <c r="G33" s="143">
        <v>-0.43</v>
      </c>
      <c r="H33" s="143">
        <v>0.4</v>
      </c>
      <c r="I33" s="143">
        <v>-0.62</v>
      </c>
      <c r="J33" s="143">
        <v>-7.0000000000000007E-2</v>
      </c>
      <c r="K33" s="138"/>
      <c r="L33" s="138"/>
      <c r="M33" s="138"/>
      <c r="N33" s="138"/>
      <c r="O33" s="138"/>
      <c r="P33" s="138"/>
      <c r="Q33" s="138"/>
      <c r="R33" s="138"/>
      <c r="S33" s="138"/>
      <c r="T33" s="138"/>
      <c r="U33" s="138"/>
      <c r="V33" s="138"/>
      <c r="W33" s="138"/>
      <c r="X33" s="138"/>
      <c r="Y33" s="138"/>
      <c r="Z33" s="138"/>
      <c r="AA33" s="143">
        <v>-0.43</v>
      </c>
      <c r="AB33" s="143">
        <v>-7.0000000000000007E-2</v>
      </c>
      <c r="AC33" s="138"/>
      <c r="AD33" s="138"/>
      <c r="AE33" s="138"/>
      <c r="AF33" s="138"/>
      <c r="AG33" s="138"/>
      <c r="AH33" s="138"/>
      <c r="AI33" s="138"/>
      <c r="AJ33" s="138"/>
      <c r="AK33" s="138"/>
      <c r="AL33" s="138"/>
      <c r="AM33" s="138"/>
      <c r="AN33" s="138"/>
      <c r="AO33" s="138"/>
      <c r="AP33" s="138"/>
      <c r="AQ33" s="138"/>
      <c r="AR33" s="138"/>
      <c r="AS33" s="138"/>
      <c r="AT33" s="139"/>
      <c r="AU33" s="140"/>
      <c r="AV33" s="140"/>
      <c r="AW33" s="140"/>
      <c r="AX33" s="140"/>
      <c r="AY33" s="140"/>
      <c r="AZ33" s="140"/>
      <c r="BA33" s="140"/>
      <c r="BB33" s="140"/>
      <c r="BC33" s="140"/>
      <c r="BD33" s="140"/>
      <c r="BE33" s="140"/>
      <c r="BF33" s="140"/>
      <c r="BG33" s="140"/>
      <c r="BH33" s="140"/>
      <c r="BI33" s="140"/>
      <c r="BJ33" s="140"/>
      <c r="BK33" s="140"/>
      <c r="BL33" s="140"/>
      <c r="BM33" s="140"/>
      <c r="BN33" s="140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</row>
    <row r="34" spans="1:200" ht="15" customHeight="1" x14ac:dyDescent="0.2">
      <c r="A34" s="18"/>
      <c r="B34" s="18" t="str">
        <f t="shared" si="0"/>
        <v>[ROW:MAR_2018]</v>
      </c>
      <c r="C34" s="29">
        <f>IF(OR(Client_Info!$D$14="",Client_Info!$D$15=""),"",IF(EOMONTH(Client_Info!$D$14,26)&lt;=Client_Info!$D$15,EOMONTH(Client_Info!$D$14,26),""))</f>
        <v>43190</v>
      </c>
      <c r="D34" s="138"/>
      <c r="E34" s="138"/>
      <c r="F34" s="138"/>
      <c r="G34" s="143">
        <v>0.19</v>
      </c>
      <c r="H34" s="143">
        <v>-2.4300000000000002</v>
      </c>
      <c r="I34" s="143">
        <v>0.36</v>
      </c>
      <c r="J34" s="143">
        <v>0.98</v>
      </c>
      <c r="K34" s="138"/>
      <c r="L34" s="138"/>
      <c r="M34" s="138"/>
      <c r="N34" s="138"/>
      <c r="O34" s="138"/>
      <c r="P34" s="138"/>
      <c r="Q34" s="138"/>
      <c r="R34" s="138"/>
      <c r="S34" s="138"/>
      <c r="T34" s="138"/>
      <c r="U34" s="138"/>
      <c r="V34" s="138"/>
      <c r="W34" s="138"/>
      <c r="X34" s="138"/>
      <c r="Y34" s="138"/>
      <c r="Z34" s="138"/>
      <c r="AA34" s="143">
        <v>0.19</v>
      </c>
      <c r="AB34" s="143">
        <v>0.98</v>
      </c>
      <c r="AC34" s="138"/>
      <c r="AD34" s="138"/>
      <c r="AE34" s="138"/>
      <c r="AF34" s="138"/>
      <c r="AG34" s="138"/>
      <c r="AH34" s="138"/>
      <c r="AI34" s="138"/>
      <c r="AJ34" s="138"/>
      <c r="AK34" s="138"/>
      <c r="AL34" s="138"/>
      <c r="AM34" s="138"/>
      <c r="AN34" s="138"/>
      <c r="AO34" s="138"/>
      <c r="AP34" s="138"/>
      <c r="AQ34" s="138"/>
      <c r="AR34" s="138"/>
      <c r="AS34" s="138"/>
      <c r="AT34" s="139"/>
      <c r="AU34" s="140"/>
      <c r="AV34" s="140"/>
      <c r="AW34" s="140"/>
      <c r="AX34" s="140"/>
      <c r="AY34" s="140"/>
      <c r="AZ34" s="140"/>
      <c r="BA34" s="140"/>
      <c r="BB34" s="140"/>
      <c r="BC34" s="140"/>
      <c r="BD34" s="140"/>
      <c r="BE34" s="140"/>
      <c r="BF34" s="140"/>
      <c r="BG34" s="140"/>
      <c r="BH34" s="140"/>
      <c r="BI34" s="140"/>
      <c r="BJ34" s="140"/>
      <c r="BK34" s="140"/>
      <c r="BL34" s="140"/>
      <c r="BM34" s="140"/>
      <c r="BN34" s="140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</row>
    <row r="35" spans="1:200" ht="15" customHeight="1" x14ac:dyDescent="0.2">
      <c r="A35" s="18"/>
      <c r="B35" s="18" t="str">
        <f t="shared" si="0"/>
        <v>[ROW:APR_2018]</v>
      </c>
      <c r="C35" s="29">
        <f>IF(OR(Client_Info!$D$14="",Client_Info!$D$15=""),"",IF(EOMONTH(Client_Info!$D$14,27)&lt;=Client_Info!$D$15,EOMONTH(Client_Info!$D$14,27),""))</f>
        <v>43220</v>
      </c>
      <c r="D35" s="138"/>
      <c r="E35" s="138"/>
      <c r="F35" s="138"/>
      <c r="G35" s="143">
        <v>1.25</v>
      </c>
      <c r="H35" s="143">
        <v>-0.4</v>
      </c>
      <c r="I35" s="143">
        <v>-0.02</v>
      </c>
      <c r="J35" s="143">
        <v>2.4</v>
      </c>
      <c r="K35" s="138"/>
      <c r="L35" s="138"/>
      <c r="M35" s="138"/>
      <c r="N35" s="138"/>
      <c r="O35" s="138"/>
      <c r="P35" s="138"/>
      <c r="Q35" s="138"/>
      <c r="R35" s="138"/>
      <c r="S35" s="138"/>
      <c r="T35" s="138"/>
      <c r="U35" s="138"/>
      <c r="V35" s="138"/>
      <c r="W35" s="138"/>
      <c r="X35" s="138"/>
      <c r="Y35" s="138"/>
      <c r="Z35" s="138"/>
      <c r="AA35" s="143">
        <v>1.25</v>
      </c>
      <c r="AB35" s="143">
        <v>2.4</v>
      </c>
      <c r="AC35" s="138"/>
      <c r="AD35" s="138"/>
      <c r="AE35" s="138"/>
      <c r="AF35" s="138"/>
      <c r="AG35" s="138"/>
      <c r="AH35" s="138"/>
      <c r="AI35" s="138"/>
      <c r="AJ35" s="138"/>
      <c r="AK35" s="138"/>
      <c r="AL35" s="138"/>
      <c r="AM35" s="138"/>
      <c r="AN35" s="138"/>
      <c r="AO35" s="138"/>
      <c r="AP35" s="138"/>
      <c r="AQ35" s="138"/>
      <c r="AR35" s="138"/>
      <c r="AS35" s="138"/>
      <c r="AT35" s="139"/>
      <c r="AU35" s="140"/>
      <c r="AV35" s="140"/>
      <c r="AW35" s="140"/>
      <c r="AX35" s="140"/>
      <c r="AY35" s="140"/>
      <c r="AZ35" s="140"/>
      <c r="BA35" s="140"/>
      <c r="BB35" s="140"/>
      <c r="BC35" s="140"/>
      <c r="BD35" s="140"/>
      <c r="BE35" s="140"/>
      <c r="BF35" s="140"/>
      <c r="BG35" s="140"/>
      <c r="BH35" s="140"/>
      <c r="BI35" s="140"/>
      <c r="BJ35" s="140"/>
      <c r="BK35" s="140"/>
      <c r="BL35" s="140"/>
      <c r="BM35" s="140"/>
      <c r="BN35" s="140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</row>
    <row r="36" spans="1:200" ht="15" customHeight="1" x14ac:dyDescent="0.2">
      <c r="A36" s="18"/>
      <c r="B36" s="18" t="str">
        <f t="shared" si="0"/>
        <v>[ROW:MAY_2018]</v>
      </c>
      <c r="C36" s="29">
        <f>IF(OR(Client_Info!$D$14="",Client_Info!$D$15=""),"",IF(EOMONTH(Client_Info!$D$14,28)&lt;=Client_Info!$D$15,EOMONTH(Client_Info!$D$14,28),""))</f>
        <v>43251</v>
      </c>
      <c r="D36" s="138"/>
      <c r="E36" s="138"/>
      <c r="F36" s="138"/>
      <c r="G36" s="143">
        <v>-0.41</v>
      </c>
      <c r="H36" s="143">
        <v>2.41</v>
      </c>
      <c r="I36" s="143">
        <v>-0.53</v>
      </c>
      <c r="J36" s="143">
        <v>0.06</v>
      </c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8"/>
      <c r="AA36" s="143">
        <v>-0.41</v>
      </c>
      <c r="AB36" s="143">
        <v>0.06</v>
      </c>
      <c r="AC36" s="138"/>
      <c r="AD36" s="138"/>
      <c r="AE36" s="138"/>
      <c r="AF36" s="138"/>
      <c r="AG36" s="138"/>
      <c r="AH36" s="138"/>
      <c r="AI36" s="138"/>
      <c r="AJ36" s="138"/>
      <c r="AK36" s="138"/>
      <c r="AL36" s="138"/>
      <c r="AM36" s="138"/>
      <c r="AN36" s="138"/>
      <c r="AO36" s="138"/>
      <c r="AP36" s="138"/>
      <c r="AQ36" s="138"/>
      <c r="AR36" s="138"/>
      <c r="AS36" s="138"/>
      <c r="AT36" s="139"/>
      <c r="AU36" s="140"/>
      <c r="AV36" s="140"/>
      <c r="AW36" s="140"/>
      <c r="AX36" s="140"/>
      <c r="AY36" s="140"/>
      <c r="AZ36" s="140"/>
      <c r="BA36" s="140"/>
      <c r="BB36" s="140"/>
      <c r="BC36" s="140"/>
      <c r="BD36" s="140"/>
      <c r="BE36" s="140"/>
      <c r="BF36" s="140"/>
      <c r="BG36" s="140"/>
      <c r="BH36" s="140"/>
      <c r="BI36" s="140"/>
      <c r="BJ36" s="140"/>
      <c r="BK36" s="140"/>
      <c r="BL36" s="140"/>
      <c r="BM36" s="140"/>
      <c r="BN36" s="140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</row>
    <row r="37" spans="1:200" ht="15" customHeight="1" x14ac:dyDescent="0.2">
      <c r="A37" s="18"/>
      <c r="B37" s="18" t="str">
        <f t="shared" si="0"/>
        <v>[ROW:JUN_2018]</v>
      </c>
      <c r="C37" s="29">
        <f>IF(OR(Client_Info!$D$14="",Client_Info!$D$15=""),"",IF(EOMONTH(Client_Info!$D$14,29)&lt;=Client_Info!$D$15,EOMONTH(Client_Info!$D$14,29),""))</f>
        <v>43281</v>
      </c>
      <c r="D37" s="138"/>
      <c r="E37" s="138"/>
      <c r="F37" s="138"/>
      <c r="G37" s="143">
        <v>-0.35</v>
      </c>
      <c r="H37" s="143">
        <v>2.13</v>
      </c>
      <c r="I37" s="143">
        <v>2.74</v>
      </c>
      <c r="J37" s="143">
        <v>-0.92</v>
      </c>
      <c r="K37" s="138"/>
      <c r="L37" s="138"/>
      <c r="M37" s="138"/>
      <c r="N37" s="138"/>
      <c r="O37" s="138"/>
      <c r="P37" s="138"/>
      <c r="Q37" s="138"/>
      <c r="R37" s="138"/>
      <c r="S37" s="138"/>
      <c r="T37" s="138"/>
      <c r="U37" s="138"/>
      <c r="V37" s="138"/>
      <c r="W37" s="138"/>
      <c r="X37" s="138"/>
      <c r="Y37" s="138"/>
      <c r="Z37" s="138"/>
      <c r="AA37" s="143">
        <v>-0.35</v>
      </c>
      <c r="AB37" s="143">
        <v>-0.92</v>
      </c>
      <c r="AC37" s="138"/>
      <c r="AD37" s="138"/>
      <c r="AE37" s="138"/>
      <c r="AF37" s="138"/>
      <c r="AG37" s="138"/>
      <c r="AH37" s="138"/>
      <c r="AI37" s="138"/>
      <c r="AJ37" s="138"/>
      <c r="AK37" s="138"/>
      <c r="AL37" s="138"/>
      <c r="AM37" s="138"/>
      <c r="AN37" s="138"/>
      <c r="AO37" s="138"/>
      <c r="AP37" s="138"/>
      <c r="AQ37" s="138"/>
      <c r="AR37" s="138"/>
      <c r="AS37" s="138"/>
      <c r="AT37" s="139"/>
      <c r="AU37" s="140"/>
      <c r="AV37" s="140"/>
      <c r="AW37" s="140"/>
      <c r="AX37" s="140"/>
      <c r="AY37" s="140"/>
      <c r="AZ37" s="140"/>
      <c r="BA37" s="140"/>
      <c r="BB37" s="140"/>
      <c r="BC37" s="140"/>
      <c r="BD37" s="140"/>
      <c r="BE37" s="140"/>
      <c r="BF37" s="140"/>
      <c r="BG37" s="140"/>
      <c r="BH37" s="140"/>
      <c r="BI37" s="140"/>
      <c r="BJ37" s="140"/>
      <c r="BK37" s="140"/>
      <c r="BL37" s="140"/>
      <c r="BM37" s="140"/>
      <c r="BN37" s="140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</row>
    <row r="38" spans="1:200" ht="15" customHeight="1" x14ac:dyDescent="0.2">
      <c r="A38" s="18"/>
      <c r="B38" s="18" t="str">
        <f t="shared" si="0"/>
        <v>[ROW:JUL_2018]</v>
      </c>
      <c r="C38" s="29">
        <f>IF(OR(Client_Info!$D$14="",Client_Info!$D$15=""),"",IF(EOMONTH(Client_Info!$D$14,30)&lt;=Client_Info!$D$15,EOMONTH(Client_Info!$D$14,30),""))</f>
        <v>43312</v>
      </c>
      <c r="D38" s="138"/>
      <c r="E38" s="138"/>
      <c r="F38" s="138"/>
      <c r="G38" s="143">
        <v>0.47</v>
      </c>
      <c r="H38" s="143">
        <v>-0.43</v>
      </c>
      <c r="I38" s="143">
        <v>-0.31</v>
      </c>
      <c r="J38" s="143">
        <v>1.49</v>
      </c>
      <c r="K38" s="138"/>
      <c r="L38" s="138"/>
      <c r="M38" s="138"/>
      <c r="N38" s="138"/>
      <c r="O38" s="138"/>
      <c r="P38" s="138"/>
      <c r="Q38" s="138"/>
      <c r="R38" s="138"/>
      <c r="S38" s="138"/>
      <c r="T38" s="138"/>
      <c r="U38" s="138"/>
      <c r="V38" s="138"/>
      <c r="W38" s="138"/>
      <c r="X38" s="138"/>
      <c r="Y38" s="138"/>
      <c r="Z38" s="138"/>
      <c r="AA38" s="143">
        <v>0.47</v>
      </c>
      <c r="AB38" s="143">
        <v>1.49</v>
      </c>
      <c r="AC38" s="138"/>
      <c r="AD38" s="138"/>
      <c r="AE38" s="138"/>
      <c r="AF38" s="138"/>
      <c r="AG38" s="138"/>
      <c r="AH38" s="138"/>
      <c r="AI38" s="138"/>
      <c r="AJ38" s="138"/>
      <c r="AK38" s="138"/>
      <c r="AL38" s="138"/>
      <c r="AM38" s="138"/>
      <c r="AN38" s="138"/>
      <c r="AO38" s="138"/>
      <c r="AP38" s="138"/>
      <c r="AQ38" s="138"/>
      <c r="AR38" s="138"/>
      <c r="AS38" s="138"/>
      <c r="AT38" s="139"/>
      <c r="AU38" s="140"/>
      <c r="AV38" s="140"/>
      <c r="AW38" s="140"/>
      <c r="AX38" s="140"/>
      <c r="AY38" s="140"/>
      <c r="AZ38" s="140"/>
      <c r="BA38" s="140"/>
      <c r="BB38" s="140"/>
      <c r="BC38" s="140"/>
      <c r="BD38" s="140"/>
      <c r="BE38" s="140"/>
      <c r="BF38" s="140"/>
      <c r="BG38" s="140"/>
      <c r="BH38" s="140"/>
      <c r="BI38" s="140"/>
      <c r="BJ38" s="140"/>
      <c r="BK38" s="140"/>
      <c r="BL38" s="140"/>
      <c r="BM38" s="140"/>
      <c r="BN38" s="140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</row>
    <row r="39" spans="1:200" ht="15" customHeight="1" x14ac:dyDescent="0.2">
      <c r="A39" s="18"/>
      <c r="B39" s="18" t="str">
        <f t="shared" si="0"/>
        <v>[ROW:AUG_2018]</v>
      </c>
      <c r="C39" s="29">
        <f>IF(OR(Client_Info!$D$14="",Client_Info!$D$15=""),"",IF(EOMONTH(Client_Info!$D$14,31)&lt;=Client_Info!$D$15,EOMONTH(Client_Info!$D$14,31),""))</f>
        <v>43343</v>
      </c>
      <c r="D39" s="138"/>
      <c r="E39" s="138"/>
      <c r="F39" s="138"/>
      <c r="G39" s="143">
        <v>3.84</v>
      </c>
      <c r="H39" s="143">
        <v>3.08</v>
      </c>
      <c r="I39" s="143">
        <v>-1.4</v>
      </c>
      <c r="J39" s="143">
        <v>7.0000000000000007E-2</v>
      </c>
      <c r="K39" s="138"/>
      <c r="L39" s="138"/>
      <c r="M39" s="138"/>
      <c r="N39" s="138"/>
      <c r="O39" s="138"/>
      <c r="P39" s="138"/>
      <c r="Q39" s="138"/>
      <c r="R39" s="138"/>
      <c r="S39" s="138"/>
      <c r="T39" s="138"/>
      <c r="U39" s="138"/>
      <c r="V39" s="138"/>
      <c r="W39" s="138"/>
      <c r="X39" s="138"/>
      <c r="Y39" s="138"/>
      <c r="Z39" s="138"/>
      <c r="AA39" s="143">
        <v>3.84</v>
      </c>
      <c r="AB39" s="143">
        <v>7.0000000000000007E-2</v>
      </c>
      <c r="AC39" s="138"/>
      <c r="AD39" s="138"/>
      <c r="AE39" s="138"/>
      <c r="AF39" s="138"/>
      <c r="AG39" s="138"/>
      <c r="AH39" s="138"/>
      <c r="AI39" s="138"/>
      <c r="AJ39" s="138"/>
      <c r="AK39" s="138"/>
      <c r="AL39" s="138"/>
      <c r="AM39" s="138"/>
      <c r="AN39" s="138"/>
      <c r="AO39" s="138"/>
      <c r="AP39" s="138"/>
      <c r="AQ39" s="138"/>
      <c r="AR39" s="138"/>
      <c r="AS39" s="138"/>
      <c r="AT39" s="139"/>
      <c r="AU39" s="140"/>
      <c r="AV39" s="140"/>
      <c r="AW39" s="140"/>
      <c r="AX39" s="140"/>
      <c r="AY39" s="140"/>
      <c r="AZ39" s="140"/>
      <c r="BA39" s="140"/>
      <c r="BB39" s="140"/>
      <c r="BC39" s="140"/>
      <c r="BD39" s="140"/>
      <c r="BE39" s="140"/>
      <c r="BF39" s="140"/>
      <c r="BG39" s="140"/>
      <c r="BH39" s="140"/>
      <c r="BI39" s="140"/>
      <c r="BJ39" s="140"/>
      <c r="BK39" s="140"/>
      <c r="BL39" s="140"/>
      <c r="BM39" s="140"/>
      <c r="BN39" s="140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</row>
    <row r="40" spans="1:200" ht="15" customHeight="1" x14ac:dyDescent="0.2">
      <c r="A40" s="18"/>
      <c r="B40" s="18" t="str">
        <f t="shared" ref="B40:B71" si="1">IF(C40="","","[ROW:"&amp;UPPER(TEXT(C40,"MMM"))&amp;"_"&amp;TEXT(C40,"YYYY")&amp;"]")</f>
        <v>[ROW:SEP_2018]</v>
      </c>
      <c r="C40" s="29">
        <f>IF(OR(Client_Info!$D$14="",Client_Info!$D$15=""),"",IF(EOMONTH(Client_Info!$D$14,32)&lt;=Client_Info!$D$15,EOMONTH(Client_Info!$D$14,32),""))</f>
        <v>43373</v>
      </c>
      <c r="D40" s="138"/>
      <c r="E40" s="138"/>
      <c r="F40" s="138"/>
      <c r="G40" s="143">
        <v>1.1000000000000001</v>
      </c>
      <c r="H40" s="143">
        <v>1.98</v>
      </c>
      <c r="I40" s="143">
        <v>1.24</v>
      </c>
      <c r="J40" s="143">
        <v>-2.2999999999999998</v>
      </c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8"/>
      <c r="X40" s="138"/>
      <c r="Y40" s="138"/>
      <c r="Z40" s="138"/>
      <c r="AA40" s="143">
        <v>1.1000000000000001</v>
      </c>
      <c r="AB40" s="143">
        <v>-2.2999999999999998</v>
      </c>
      <c r="AC40" s="138"/>
      <c r="AD40" s="138"/>
      <c r="AE40" s="138"/>
      <c r="AF40" s="138"/>
      <c r="AG40" s="138"/>
      <c r="AH40" s="138"/>
      <c r="AI40" s="138"/>
      <c r="AJ40" s="138"/>
      <c r="AK40" s="138"/>
      <c r="AL40" s="138"/>
      <c r="AM40" s="138"/>
      <c r="AN40" s="138"/>
      <c r="AO40" s="138"/>
      <c r="AP40" s="138"/>
      <c r="AQ40" s="138"/>
      <c r="AR40" s="138"/>
      <c r="AS40" s="138"/>
      <c r="AT40" s="139"/>
      <c r="AU40" s="140"/>
      <c r="AV40" s="140"/>
      <c r="AW40" s="140"/>
      <c r="AX40" s="140"/>
      <c r="AY40" s="140"/>
      <c r="AZ40" s="140"/>
      <c r="BA40" s="140"/>
      <c r="BB40" s="140"/>
      <c r="BC40" s="140"/>
      <c r="BD40" s="140"/>
      <c r="BE40" s="140"/>
      <c r="BF40" s="140"/>
      <c r="BG40" s="140"/>
      <c r="BH40" s="140"/>
      <c r="BI40" s="140"/>
      <c r="BJ40" s="140"/>
      <c r="BK40" s="140"/>
      <c r="BL40" s="140"/>
      <c r="BM40" s="140"/>
      <c r="BN40" s="140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</row>
    <row r="41" spans="1:200" ht="15" customHeight="1" x14ac:dyDescent="0.2">
      <c r="A41" s="18"/>
      <c r="B41" s="18" t="str">
        <f t="shared" si="1"/>
        <v>[ROW:OCT_2018]</v>
      </c>
      <c r="C41" s="29">
        <f>IF(OR(Client_Info!$D$14="",Client_Info!$D$15=""),"",IF(EOMONTH(Client_Info!$D$14,33)&lt;=Client_Info!$D$15,EOMONTH(Client_Info!$D$14,33),""))</f>
        <v>43404</v>
      </c>
      <c r="D41" s="138"/>
      <c r="E41" s="138"/>
      <c r="F41" s="138"/>
      <c r="G41" s="143">
        <v>-2.34</v>
      </c>
      <c r="H41" s="143">
        <v>-1.52</v>
      </c>
      <c r="I41" s="143">
        <v>2.34</v>
      </c>
      <c r="J41" s="143">
        <v>1.19</v>
      </c>
      <c r="K41" s="138"/>
      <c r="L41" s="138"/>
      <c r="M41" s="138"/>
      <c r="N41" s="138"/>
      <c r="O41" s="138"/>
      <c r="P41" s="138"/>
      <c r="Q41" s="138"/>
      <c r="R41" s="138"/>
      <c r="S41" s="138"/>
      <c r="T41" s="138"/>
      <c r="U41" s="138"/>
      <c r="V41" s="138"/>
      <c r="W41" s="138"/>
      <c r="X41" s="138"/>
      <c r="Y41" s="138"/>
      <c r="Z41" s="138"/>
      <c r="AA41" s="143">
        <v>-2.34</v>
      </c>
      <c r="AB41" s="143">
        <v>1.19</v>
      </c>
      <c r="AC41" s="138"/>
      <c r="AD41" s="138"/>
      <c r="AE41" s="138"/>
      <c r="AF41" s="138"/>
      <c r="AG41" s="138"/>
      <c r="AH41" s="138"/>
      <c r="AI41" s="138"/>
      <c r="AJ41" s="138"/>
      <c r="AK41" s="138"/>
      <c r="AL41" s="138"/>
      <c r="AM41" s="138"/>
      <c r="AN41" s="138"/>
      <c r="AO41" s="138"/>
      <c r="AP41" s="138"/>
      <c r="AQ41" s="138"/>
      <c r="AR41" s="138"/>
      <c r="AS41" s="138"/>
      <c r="AT41" s="139"/>
      <c r="AU41" s="140"/>
      <c r="AV41" s="140"/>
      <c r="AW41" s="140"/>
      <c r="AX41" s="140"/>
      <c r="AY41" s="140"/>
      <c r="AZ41" s="140"/>
      <c r="BA41" s="140"/>
      <c r="BB41" s="140"/>
      <c r="BC41" s="140"/>
      <c r="BD41" s="140"/>
      <c r="BE41" s="140"/>
      <c r="BF41" s="140"/>
      <c r="BG41" s="140"/>
      <c r="BH41" s="140"/>
      <c r="BI41" s="140"/>
      <c r="BJ41" s="140"/>
      <c r="BK41" s="140"/>
      <c r="BL41" s="140"/>
      <c r="BM41" s="140"/>
      <c r="BN41" s="140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</row>
    <row r="42" spans="1:200" ht="15" customHeight="1" x14ac:dyDescent="0.2">
      <c r="A42" s="18"/>
      <c r="B42" s="18" t="str">
        <f t="shared" si="1"/>
        <v>[ROW:NOV_2018]</v>
      </c>
      <c r="C42" s="29">
        <f>IF(OR(Client_Info!$D$14="",Client_Info!$D$15=""),"",IF(EOMONTH(Client_Info!$D$14,34)&lt;=Client_Info!$D$15,EOMONTH(Client_Info!$D$14,34),""))</f>
        <v>43434</v>
      </c>
      <c r="D42" s="138"/>
      <c r="E42" s="138"/>
      <c r="F42" s="138"/>
      <c r="G42" s="143">
        <v>-1.24</v>
      </c>
      <c r="H42" s="143">
        <v>-4.25</v>
      </c>
      <c r="I42" s="143">
        <v>-0.68</v>
      </c>
      <c r="J42" s="143">
        <v>-0.41</v>
      </c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8"/>
      <c r="AA42" s="143">
        <v>-1.24</v>
      </c>
      <c r="AB42" s="143">
        <v>-0.41</v>
      </c>
      <c r="AC42" s="138"/>
      <c r="AD42" s="138"/>
      <c r="AE42" s="138"/>
      <c r="AF42" s="138"/>
      <c r="AG42" s="138"/>
      <c r="AH42" s="138"/>
      <c r="AI42" s="138"/>
      <c r="AJ42" s="138"/>
      <c r="AK42" s="138"/>
      <c r="AL42" s="138"/>
      <c r="AM42" s="138"/>
      <c r="AN42" s="138"/>
      <c r="AO42" s="138"/>
      <c r="AP42" s="138"/>
      <c r="AQ42" s="138"/>
      <c r="AR42" s="138"/>
      <c r="AS42" s="138"/>
      <c r="AT42" s="139"/>
      <c r="AU42" s="140"/>
      <c r="AV42" s="140"/>
      <c r="AW42" s="140"/>
      <c r="AX42" s="140"/>
      <c r="AY42" s="140"/>
      <c r="AZ42" s="140"/>
      <c r="BA42" s="140"/>
      <c r="BB42" s="140"/>
      <c r="BC42" s="140"/>
      <c r="BD42" s="140"/>
      <c r="BE42" s="140"/>
      <c r="BF42" s="140"/>
      <c r="BG42" s="140"/>
      <c r="BH42" s="140"/>
      <c r="BI42" s="140"/>
      <c r="BJ42" s="140"/>
      <c r="BK42" s="140"/>
      <c r="BL42" s="140"/>
      <c r="BM42" s="140"/>
      <c r="BN42" s="140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</row>
    <row r="43" spans="1:200" ht="15" customHeight="1" x14ac:dyDescent="0.2">
      <c r="A43" s="18"/>
      <c r="B43" s="18" t="str">
        <f t="shared" si="1"/>
        <v>[ROW:DEC_2018]</v>
      </c>
      <c r="C43" s="29">
        <f>IF(OR(Client_Info!$D$14="",Client_Info!$D$15=""),"",IF(EOMONTH(Client_Info!$D$14,35)&lt;=Client_Info!$D$15,EOMONTH(Client_Info!$D$14,35),""))</f>
        <v>43465</v>
      </c>
      <c r="D43" s="138"/>
      <c r="E43" s="138"/>
      <c r="F43" s="138"/>
      <c r="G43" s="143">
        <v>-4.3499999999999996</v>
      </c>
      <c r="H43" s="143">
        <v>-3.73</v>
      </c>
      <c r="I43" s="143">
        <v>0.4</v>
      </c>
      <c r="J43" s="143">
        <v>0.1</v>
      </c>
      <c r="K43" s="138"/>
      <c r="L43" s="138"/>
      <c r="M43" s="138"/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8"/>
      <c r="Y43" s="138"/>
      <c r="Z43" s="138"/>
      <c r="AA43" s="143">
        <v>-4.3499999999999996</v>
      </c>
      <c r="AB43" s="143">
        <v>0.1</v>
      </c>
      <c r="AC43" s="138"/>
      <c r="AD43" s="138"/>
      <c r="AE43" s="138"/>
      <c r="AF43" s="138"/>
      <c r="AG43" s="138"/>
      <c r="AH43" s="138"/>
      <c r="AI43" s="138"/>
      <c r="AJ43" s="138"/>
      <c r="AK43" s="138"/>
      <c r="AL43" s="138"/>
      <c r="AM43" s="138"/>
      <c r="AN43" s="138"/>
      <c r="AO43" s="138"/>
      <c r="AP43" s="138"/>
      <c r="AQ43" s="138"/>
      <c r="AR43" s="138"/>
      <c r="AS43" s="138"/>
      <c r="AT43" s="139"/>
      <c r="AU43" s="140"/>
      <c r="AV43" s="140"/>
      <c r="AW43" s="140"/>
      <c r="AX43" s="140"/>
      <c r="AY43" s="140"/>
      <c r="AZ43" s="140"/>
      <c r="BA43" s="140"/>
      <c r="BB43" s="140"/>
      <c r="BC43" s="140"/>
      <c r="BD43" s="140"/>
      <c r="BE43" s="140"/>
      <c r="BF43" s="140"/>
      <c r="BG43" s="140"/>
      <c r="BH43" s="140"/>
      <c r="BI43" s="140"/>
      <c r="BJ43" s="140"/>
      <c r="BK43" s="140"/>
      <c r="BL43" s="140"/>
      <c r="BM43" s="140"/>
      <c r="BN43" s="140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</row>
    <row r="44" spans="1:200" ht="15" customHeight="1" x14ac:dyDescent="0.2">
      <c r="A44" s="18"/>
      <c r="B44" s="18" t="str">
        <f t="shared" si="1"/>
        <v>[ROW:JAN_2019]</v>
      </c>
      <c r="C44" s="29">
        <f>IF(OR(Client_Info!$D$14="",Client_Info!$D$15=""),"",IF(EOMONTH(Client_Info!$D$14,36)&lt;=Client_Info!$D$15,EOMONTH(Client_Info!$D$14,36),""))</f>
        <v>43496</v>
      </c>
      <c r="D44" s="138"/>
      <c r="E44" s="138"/>
      <c r="F44" s="138"/>
      <c r="G44" s="143">
        <v>0.3</v>
      </c>
      <c r="H44" s="143">
        <v>1.45</v>
      </c>
      <c r="I44" s="143">
        <v>2.71</v>
      </c>
      <c r="J44" s="143">
        <v>0.59</v>
      </c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43">
        <v>0.3</v>
      </c>
      <c r="AB44" s="143">
        <v>0.59</v>
      </c>
      <c r="AC44" s="138"/>
      <c r="AD44" s="138"/>
      <c r="AE44" s="138"/>
      <c r="AF44" s="138"/>
      <c r="AG44" s="138"/>
      <c r="AH44" s="138"/>
      <c r="AI44" s="138"/>
      <c r="AJ44" s="138"/>
      <c r="AK44" s="138"/>
      <c r="AL44" s="138"/>
      <c r="AM44" s="138"/>
      <c r="AN44" s="138"/>
      <c r="AO44" s="138"/>
      <c r="AP44" s="138"/>
      <c r="AQ44" s="138"/>
      <c r="AR44" s="138"/>
      <c r="AS44" s="138"/>
      <c r="AT44" s="139"/>
      <c r="AU44" s="140"/>
      <c r="AV44" s="140"/>
      <c r="AW44" s="140"/>
      <c r="AX44" s="140"/>
      <c r="AY44" s="140"/>
      <c r="AZ44" s="140"/>
      <c r="BA44" s="140"/>
      <c r="BB44" s="140"/>
      <c r="BC44" s="140"/>
      <c r="BD44" s="140"/>
      <c r="BE44" s="140"/>
      <c r="BF44" s="140"/>
      <c r="BG44" s="140"/>
      <c r="BH44" s="140"/>
      <c r="BI44" s="140"/>
      <c r="BJ44" s="140"/>
      <c r="BK44" s="140"/>
      <c r="BL44" s="140"/>
      <c r="BM44" s="140"/>
      <c r="BN44" s="140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</row>
    <row r="45" spans="1:200" ht="15" customHeight="1" x14ac:dyDescent="0.2">
      <c r="A45" s="18"/>
      <c r="B45" s="18" t="str">
        <f t="shared" si="1"/>
        <v>[ROW:FEB_2019]</v>
      </c>
      <c r="C45" s="29">
        <f>IF(OR(Client_Info!$D$14="",Client_Info!$D$15=""),"",IF(EOMONTH(Client_Info!$D$14,37)&lt;=Client_Info!$D$15,EOMONTH(Client_Info!$D$14,37),""))</f>
        <v>43524</v>
      </c>
      <c r="D45" s="138"/>
      <c r="E45" s="138"/>
      <c r="F45" s="138"/>
      <c r="G45" s="143">
        <v>-3.74</v>
      </c>
      <c r="H45" s="143">
        <v>0.72</v>
      </c>
      <c r="I45" s="143">
        <v>0.79</v>
      </c>
      <c r="J45" s="143">
        <v>0.43</v>
      </c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8"/>
      <c r="AA45" s="143">
        <v>-3.74</v>
      </c>
      <c r="AB45" s="143">
        <v>0.43</v>
      </c>
      <c r="AC45" s="138"/>
      <c r="AD45" s="138"/>
      <c r="AE45" s="138"/>
      <c r="AF45" s="138"/>
      <c r="AG45" s="138"/>
      <c r="AH45" s="138"/>
      <c r="AI45" s="138"/>
      <c r="AJ45" s="138"/>
      <c r="AK45" s="138"/>
      <c r="AL45" s="138"/>
      <c r="AM45" s="138"/>
      <c r="AN45" s="138"/>
      <c r="AO45" s="138"/>
      <c r="AP45" s="138"/>
      <c r="AQ45" s="138"/>
      <c r="AR45" s="138"/>
      <c r="AS45" s="138"/>
      <c r="AT45" s="139"/>
      <c r="AU45" s="140"/>
      <c r="AV45" s="140"/>
      <c r="AW45" s="140"/>
      <c r="AX45" s="140"/>
      <c r="AY45" s="140"/>
      <c r="AZ45" s="140"/>
      <c r="BA45" s="140"/>
      <c r="BB45" s="140"/>
      <c r="BC45" s="140"/>
      <c r="BD45" s="140"/>
      <c r="BE45" s="140"/>
      <c r="BF45" s="140"/>
      <c r="BG45" s="140"/>
      <c r="BH45" s="140"/>
      <c r="BI45" s="140"/>
      <c r="BJ45" s="140"/>
      <c r="BK45" s="140"/>
      <c r="BL45" s="140"/>
      <c r="BM45" s="140"/>
      <c r="BN45" s="140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</row>
    <row r="46" spans="1:200" ht="15" customHeight="1" x14ac:dyDescent="0.2">
      <c r="A46" s="18"/>
      <c r="B46" s="18" t="str">
        <f t="shared" si="1"/>
        <v>[ROW:MAR_2019]</v>
      </c>
      <c r="C46" s="29">
        <f>IF(OR(Client_Info!$D$14="",Client_Info!$D$15=""),"",IF(EOMONTH(Client_Info!$D$14,38)&lt;=Client_Info!$D$15,EOMONTH(Client_Info!$D$14,38),""))</f>
        <v>43555</v>
      </c>
      <c r="D46" s="138"/>
      <c r="E46" s="138"/>
      <c r="F46" s="138"/>
      <c r="G46" s="143">
        <v>-2.35</v>
      </c>
      <c r="H46" s="143">
        <v>-3.97</v>
      </c>
      <c r="I46" s="143">
        <v>7.0000000000000007E-2</v>
      </c>
      <c r="J46" s="143">
        <v>1.03</v>
      </c>
      <c r="K46" s="138"/>
      <c r="L46" s="138"/>
      <c r="M46" s="138"/>
      <c r="N46" s="138"/>
      <c r="O46" s="138"/>
      <c r="P46" s="138"/>
      <c r="Q46" s="138"/>
      <c r="R46" s="138"/>
      <c r="S46" s="138"/>
      <c r="T46" s="138"/>
      <c r="U46" s="138"/>
      <c r="V46" s="138"/>
      <c r="W46" s="138"/>
      <c r="X46" s="138"/>
      <c r="Y46" s="138"/>
      <c r="Z46" s="138"/>
      <c r="AA46" s="143">
        <v>-2.35</v>
      </c>
      <c r="AB46" s="143">
        <v>1.03</v>
      </c>
      <c r="AC46" s="138"/>
      <c r="AD46" s="138"/>
      <c r="AE46" s="138"/>
      <c r="AF46" s="138"/>
      <c r="AG46" s="138"/>
      <c r="AH46" s="138"/>
      <c r="AI46" s="138"/>
      <c r="AJ46" s="138"/>
      <c r="AK46" s="138"/>
      <c r="AL46" s="138"/>
      <c r="AM46" s="138"/>
      <c r="AN46" s="138"/>
      <c r="AO46" s="138"/>
      <c r="AP46" s="138"/>
      <c r="AQ46" s="138"/>
      <c r="AR46" s="138"/>
      <c r="AS46" s="138"/>
      <c r="AT46" s="139"/>
      <c r="AU46" s="140"/>
      <c r="AV46" s="140"/>
      <c r="AW46" s="140"/>
      <c r="AX46" s="140"/>
      <c r="AY46" s="140"/>
      <c r="AZ46" s="140"/>
      <c r="BA46" s="140"/>
      <c r="BB46" s="140"/>
      <c r="BC46" s="140"/>
      <c r="BD46" s="140"/>
      <c r="BE46" s="140"/>
      <c r="BF46" s="140"/>
      <c r="BG46" s="140"/>
      <c r="BH46" s="140"/>
      <c r="BI46" s="140"/>
      <c r="BJ46" s="140"/>
      <c r="BK46" s="140"/>
      <c r="BL46" s="140"/>
      <c r="BM46" s="140"/>
      <c r="BN46" s="140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</row>
    <row r="47" spans="1:200" ht="15" customHeight="1" x14ac:dyDescent="0.2">
      <c r="A47" s="18"/>
      <c r="B47" s="18" t="str">
        <f t="shared" si="1"/>
        <v>[ROW:APR_2019]</v>
      </c>
      <c r="C47" s="29">
        <f>IF(OR(Client_Info!$D$14="",Client_Info!$D$15=""),"",IF(EOMONTH(Client_Info!$D$14,39)&lt;=Client_Info!$D$15,EOMONTH(Client_Info!$D$14,39),""))</f>
        <v>43585</v>
      </c>
      <c r="D47" s="138"/>
      <c r="E47" s="138"/>
      <c r="F47" s="138"/>
      <c r="G47" s="143">
        <v>1.92</v>
      </c>
      <c r="H47" s="143">
        <v>-4.4800000000000004</v>
      </c>
      <c r="I47" s="143">
        <v>1.67</v>
      </c>
      <c r="J47" s="143">
        <v>-0.28999999999999998</v>
      </c>
      <c r="K47" s="138"/>
      <c r="L47" s="138"/>
      <c r="M47" s="138"/>
      <c r="N47" s="138"/>
      <c r="O47" s="138"/>
      <c r="P47" s="138"/>
      <c r="Q47" s="138"/>
      <c r="R47" s="138"/>
      <c r="S47" s="138"/>
      <c r="T47" s="138"/>
      <c r="U47" s="138"/>
      <c r="V47" s="138"/>
      <c r="W47" s="138"/>
      <c r="X47" s="138"/>
      <c r="Y47" s="138"/>
      <c r="Z47" s="138"/>
      <c r="AA47" s="143">
        <v>1.92</v>
      </c>
      <c r="AB47" s="143">
        <v>-0.28999999999999998</v>
      </c>
      <c r="AC47" s="138"/>
      <c r="AD47" s="138"/>
      <c r="AE47" s="138"/>
      <c r="AF47" s="138"/>
      <c r="AG47" s="138"/>
      <c r="AH47" s="138"/>
      <c r="AI47" s="138"/>
      <c r="AJ47" s="138"/>
      <c r="AK47" s="138"/>
      <c r="AL47" s="138"/>
      <c r="AM47" s="138"/>
      <c r="AN47" s="138"/>
      <c r="AO47" s="138"/>
      <c r="AP47" s="138"/>
      <c r="AQ47" s="138"/>
      <c r="AR47" s="138"/>
      <c r="AS47" s="138"/>
      <c r="AT47" s="139"/>
      <c r="AU47" s="140"/>
      <c r="AV47" s="140"/>
      <c r="AW47" s="140"/>
      <c r="AX47" s="140"/>
      <c r="AY47" s="140"/>
      <c r="AZ47" s="140"/>
      <c r="BA47" s="140"/>
      <c r="BB47" s="140"/>
      <c r="BC47" s="140"/>
      <c r="BD47" s="140"/>
      <c r="BE47" s="140"/>
      <c r="BF47" s="140"/>
      <c r="BG47" s="140"/>
      <c r="BH47" s="140"/>
      <c r="BI47" s="140"/>
      <c r="BJ47" s="140"/>
      <c r="BK47" s="140"/>
      <c r="BL47" s="140"/>
      <c r="BM47" s="140"/>
      <c r="BN47" s="140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</row>
    <row r="48" spans="1:200" ht="15" customHeight="1" x14ac:dyDescent="0.2">
      <c r="A48" s="18"/>
      <c r="B48" s="18" t="str">
        <f t="shared" si="1"/>
        <v>[ROW:MAY_2019]</v>
      </c>
      <c r="C48" s="29">
        <f>IF(OR(Client_Info!$D$14="",Client_Info!$D$15=""),"",IF(EOMONTH(Client_Info!$D$14,40)&lt;=Client_Info!$D$15,EOMONTH(Client_Info!$D$14,40),""))</f>
        <v>43616</v>
      </c>
      <c r="D48" s="138"/>
      <c r="E48" s="138"/>
      <c r="F48" s="138"/>
      <c r="G48" s="143">
        <v>1.1200000000000001</v>
      </c>
      <c r="H48" s="143">
        <v>0.61</v>
      </c>
      <c r="I48" s="143">
        <v>1.1499999999999999</v>
      </c>
      <c r="J48" s="143">
        <v>0.8</v>
      </c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  <c r="X48" s="138"/>
      <c r="Y48" s="138"/>
      <c r="Z48" s="138"/>
      <c r="AA48" s="143">
        <v>1.1200000000000001</v>
      </c>
      <c r="AB48" s="143">
        <v>0.8</v>
      </c>
      <c r="AC48" s="138"/>
      <c r="AD48" s="138"/>
      <c r="AE48" s="138"/>
      <c r="AF48" s="138"/>
      <c r="AG48" s="138"/>
      <c r="AH48" s="138"/>
      <c r="AI48" s="138"/>
      <c r="AJ48" s="138"/>
      <c r="AK48" s="138"/>
      <c r="AL48" s="138"/>
      <c r="AM48" s="138"/>
      <c r="AN48" s="138"/>
      <c r="AO48" s="138"/>
      <c r="AP48" s="138"/>
      <c r="AQ48" s="138"/>
      <c r="AR48" s="138"/>
      <c r="AS48" s="138"/>
      <c r="AT48" s="139"/>
      <c r="AU48" s="140"/>
      <c r="AV48" s="140"/>
      <c r="AW48" s="140"/>
      <c r="AX48" s="140"/>
      <c r="AY48" s="140"/>
      <c r="AZ48" s="140"/>
      <c r="BA48" s="140"/>
      <c r="BB48" s="140"/>
      <c r="BC48" s="140"/>
      <c r="BD48" s="140"/>
      <c r="BE48" s="140"/>
      <c r="BF48" s="140"/>
      <c r="BG48" s="140"/>
      <c r="BH48" s="140"/>
      <c r="BI48" s="140"/>
      <c r="BJ48" s="140"/>
      <c r="BK48" s="140"/>
      <c r="BL48" s="140"/>
      <c r="BM48" s="140"/>
      <c r="BN48" s="140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</row>
    <row r="49" spans="1:200" ht="15" customHeight="1" x14ac:dyDescent="0.2">
      <c r="A49" s="18"/>
      <c r="B49" s="18" t="str">
        <f t="shared" si="1"/>
        <v>[ROW:JUN_2019]</v>
      </c>
      <c r="C49" s="29">
        <f>IF(OR(Client_Info!$D$14="",Client_Info!$D$15=""),"",IF(EOMONTH(Client_Info!$D$14,41)&lt;=Client_Info!$D$15,EOMONTH(Client_Info!$D$14,41),""))</f>
        <v>43646</v>
      </c>
      <c r="D49" s="138"/>
      <c r="E49" s="138"/>
      <c r="F49" s="138"/>
      <c r="G49" s="143">
        <v>1.65</v>
      </c>
      <c r="H49" s="143">
        <v>4.99</v>
      </c>
      <c r="I49" s="143">
        <v>1.55</v>
      </c>
      <c r="J49" s="143">
        <v>-0.09</v>
      </c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  <c r="X49" s="138"/>
      <c r="Y49" s="138"/>
      <c r="Z49" s="138"/>
      <c r="AA49" s="143">
        <v>1.65</v>
      </c>
      <c r="AB49" s="143">
        <v>-0.09</v>
      </c>
      <c r="AC49" s="138"/>
      <c r="AD49" s="138"/>
      <c r="AE49" s="138"/>
      <c r="AF49" s="138"/>
      <c r="AG49" s="138"/>
      <c r="AH49" s="138"/>
      <c r="AI49" s="138"/>
      <c r="AJ49" s="138"/>
      <c r="AK49" s="138"/>
      <c r="AL49" s="138"/>
      <c r="AM49" s="138"/>
      <c r="AN49" s="138"/>
      <c r="AO49" s="138"/>
      <c r="AP49" s="138"/>
      <c r="AQ49" s="138"/>
      <c r="AR49" s="138"/>
      <c r="AS49" s="138"/>
      <c r="AT49" s="139"/>
      <c r="AU49" s="140"/>
      <c r="AV49" s="140"/>
      <c r="AW49" s="140"/>
      <c r="AX49" s="140"/>
      <c r="AY49" s="140"/>
      <c r="AZ49" s="140"/>
      <c r="BA49" s="140"/>
      <c r="BB49" s="140"/>
      <c r="BC49" s="140"/>
      <c r="BD49" s="140"/>
      <c r="BE49" s="140"/>
      <c r="BF49" s="140"/>
      <c r="BG49" s="140"/>
      <c r="BH49" s="140"/>
      <c r="BI49" s="140"/>
      <c r="BJ49" s="140"/>
      <c r="BK49" s="140"/>
      <c r="BL49" s="140"/>
      <c r="BM49" s="140"/>
      <c r="BN49" s="140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</row>
    <row r="50" spans="1:200" ht="15" customHeight="1" x14ac:dyDescent="0.2">
      <c r="A50" s="18"/>
      <c r="B50" s="18" t="str">
        <f t="shared" si="1"/>
        <v>[ROW:JUL_2019]</v>
      </c>
      <c r="C50" s="29">
        <f>IF(OR(Client_Info!$D$14="",Client_Info!$D$15=""),"",IF(EOMONTH(Client_Info!$D$14,42)&lt;=Client_Info!$D$15,EOMONTH(Client_Info!$D$14,42),""))</f>
        <v>43677</v>
      </c>
      <c r="D50" s="138"/>
      <c r="E50" s="138"/>
      <c r="F50" s="138"/>
      <c r="G50" s="143">
        <v>2.3199999999999998</v>
      </c>
      <c r="H50" s="143">
        <v>0.56999999999999995</v>
      </c>
      <c r="I50" s="143">
        <v>0.92</v>
      </c>
      <c r="J50" s="143">
        <v>1.06</v>
      </c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43">
        <v>2.3199999999999998</v>
      </c>
      <c r="AB50" s="143">
        <v>1.06</v>
      </c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138"/>
      <c r="AP50" s="138"/>
      <c r="AQ50" s="138"/>
      <c r="AR50" s="138"/>
      <c r="AS50" s="138"/>
      <c r="AT50" s="139"/>
      <c r="AU50" s="140"/>
      <c r="AV50" s="140"/>
      <c r="AW50" s="140"/>
      <c r="AX50" s="140"/>
      <c r="AY50" s="140"/>
      <c r="AZ50" s="140"/>
      <c r="BA50" s="140"/>
      <c r="BB50" s="140"/>
      <c r="BC50" s="140"/>
      <c r="BD50" s="140"/>
      <c r="BE50" s="140"/>
      <c r="BF50" s="140"/>
      <c r="BG50" s="140"/>
      <c r="BH50" s="140"/>
      <c r="BI50" s="140"/>
      <c r="BJ50" s="140"/>
      <c r="BK50" s="140"/>
      <c r="BL50" s="140"/>
      <c r="BM50" s="140"/>
      <c r="BN50" s="140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</row>
    <row r="51" spans="1:200" ht="15" customHeight="1" x14ac:dyDescent="0.2">
      <c r="A51" s="18"/>
      <c r="B51" s="18" t="str">
        <f t="shared" si="1"/>
        <v>[ROW:AUG_2019]</v>
      </c>
      <c r="C51" s="29">
        <f>IF(OR(Client_Info!$D$14="",Client_Info!$D$15=""),"",IF(EOMONTH(Client_Info!$D$14,43)&lt;=Client_Info!$D$15,EOMONTH(Client_Info!$D$14,43),""))</f>
        <v>43708</v>
      </c>
      <c r="D51" s="138"/>
      <c r="E51" s="138"/>
      <c r="F51" s="138"/>
      <c r="G51" s="143">
        <v>-1.27</v>
      </c>
      <c r="H51" s="143">
        <v>-3.69</v>
      </c>
      <c r="I51" s="143">
        <v>-1.41</v>
      </c>
      <c r="J51" s="143">
        <v>0.92</v>
      </c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43">
        <v>-1.27</v>
      </c>
      <c r="AB51" s="143">
        <v>0.92</v>
      </c>
      <c r="AC51" s="138"/>
      <c r="AD51" s="138"/>
      <c r="AE51" s="138"/>
      <c r="AF51" s="138"/>
      <c r="AG51" s="138"/>
      <c r="AH51" s="138"/>
      <c r="AI51" s="138"/>
      <c r="AJ51" s="138"/>
      <c r="AK51" s="138"/>
      <c r="AL51" s="138"/>
      <c r="AM51" s="138"/>
      <c r="AN51" s="138"/>
      <c r="AO51" s="138"/>
      <c r="AP51" s="138"/>
      <c r="AQ51" s="138"/>
      <c r="AR51" s="138"/>
      <c r="AS51" s="138"/>
      <c r="AT51" s="139"/>
      <c r="AU51" s="140"/>
      <c r="AV51" s="140"/>
      <c r="AW51" s="140"/>
      <c r="AX51" s="140"/>
      <c r="AY51" s="140"/>
      <c r="AZ51" s="140"/>
      <c r="BA51" s="140"/>
      <c r="BB51" s="140"/>
      <c r="BC51" s="140"/>
      <c r="BD51" s="140"/>
      <c r="BE51" s="140"/>
      <c r="BF51" s="140"/>
      <c r="BG51" s="140"/>
      <c r="BH51" s="140"/>
      <c r="BI51" s="140"/>
      <c r="BJ51" s="140"/>
      <c r="BK51" s="140"/>
      <c r="BL51" s="140"/>
      <c r="BM51" s="140"/>
      <c r="BN51" s="140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</row>
    <row r="52" spans="1:200" ht="15" customHeight="1" x14ac:dyDescent="0.2">
      <c r="A52" s="18"/>
      <c r="B52" s="18" t="str">
        <f t="shared" si="1"/>
        <v>[ROW:SEP_2019]</v>
      </c>
      <c r="C52" s="29">
        <f>IF(OR(Client_Info!$D$14="",Client_Info!$D$15=""),"",IF(EOMONTH(Client_Info!$D$14,44)&lt;=Client_Info!$D$15,EOMONTH(Client_Info!$D$14,44),""))</f>
        <v>43738</v>
      </c>
      <c r="D52" s="138"/>
      <c r="E52" s="138"/>
      <c r="F52" s="138"/>
      <c r="G52" s="143">
        <v>-0.64</v>
      </c>
      <c r="H52" s="143">
        <v>-1.75</v>
      </c>
      <c r="I52" s="143">
        <v>1.66</v>
      </c>
      <c r="J52" s="143">
        <v>-0.87</v>
      </c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8"/>
      <c r="Y52" s="138"/>
      <c r="Z52" s="138"/>
      <c r="AA52" s="143">
        <v>-0.64</v>
      </c>
      <c r="AB52" s="143">
        <v>-0.87</v>
      </c>
      <c r="AC52" s="138"/>
      <c r="AD52" s="138"/>
      <c r="AE52" s="138"/>
      <c r="AF52" s="138"/>
      <c r="AG52" s="138"/>
      <c r="AH52" s="138"/>
      <c r="AI52" s="138"/>
      <c r="AJ52" s="138"/>
      <c r="AK52" s="138"/>
      <c r="AL52" s="138"/>
      <c r="AM52" s="138"/>
      <c r="AN52" s="138"/>
      <c r="AO52" s="138"/>
      <c r="AP52" s="138"/>
      <c r="AQ52" s="138"/>
      <c r="AR52" s="138"/>
      <c r="AS52" s="138"/>
      <c r="AT52" s="139"/>
      <c r="AU52" s="140"/>
      <c r="AV52" s="140"/>
      <c r="AW52" s="140"/>
      <c r="AX52" s="140"/>
      <c r="AY52" s="140"/>
      <c r="AZ52" s="140"/>
      <c r="BA52" s="140"/>
      <c r="BB52" s="140"/>
      <c r="BC52" s="140"/>
      <c r="BD52" s="140"/>
      <c r="BE52" s="140"/>
      <c r="BF52" s="140"/>
      <c r="BG52" s="140"/>
      <c r="BH52" s="140"/>
      <c r="BI52" s="140"/>
      <c r="BJ52" s="140"/>
      <c r="BK52" s="140"/>
      <c r="BL52" s="140"/>
      <c r="BM52" s="140"/>
      <c r="BN52" s="140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</row>
    <row r="53" spans="1:200" ht="15" customHeight="1" x14ac:dyDescent="0.2">
      <c r="A53" s="18"/>
      <c r="B53" s="18" t="str">
        <f t="shared" si="1"/>
        <v>[ROW:OCT_2019]</v>
      </c>
      <c r="C53" s="29">
        <f>IF(OR(Client_Info!$D$14="",Client_Info!$D$15=""),"",IF(EOMONTH(Client_Info!$D$14,45)&lt;=Client_Info!$D$15,EOMONTH(Client_Info!$D$14,45),""))</f>
        <v>43769</v>
      </c>
      <c r="D53" s="138"/>
      <c r="E53" s="138"/>
      <c r="F53" s="138"/>
      <c r="G53" s="143">
        <v>-3.16</v>
      </c>
      <c r="H53" s="143">
        <v>-3.24</v>
      </c>
      <c r="I53" s="143">
        <v>-0.94</v>
      </c>
      <c r="J53" s="143">
        <v>1.46</v>
      </c>
      <c r="K53" s="138"/>
      <c r="L53" s="138"/>
      <c r="M53" s="138"/>
      <c r="N53" s="138"/>
      <c r="O53" s="138"/>
      <c r="P53" s="138"/>
      <c r="Q53" s="138"/>
      <c r="R53" s="138"/>
      <c r="S53" s="138"/>
      <c r="T53" s="138"/>
      <c r="U53" s="138"/>
      <c r="V53" s="138"/>
      <c r="W53" s="138"/>
      <c r="X53" s="138"/>
      <c r="Y53" s="138"/>
      <c r="Z53" s="138"/>
      <c r="AA53" s="143">
        <v>-3.16</v>
      </c>
      <c r="AB53" s="143">
        <v>1.46</v>
      </c>
      <c r="AC53" s="138"/>
      <c r="AD53" s="138"/>
      <c r="AE53" s="138"/>
      <c r="AF53" s="138"/>
      <c r="AG53" s="138"/>
      <c r="AH53" s="138"/>
      <c r="AI53" s="138"/>
      <c r="AJ53" s="138"/>
      <c r="AK53" s="138"/>
      <c r="AL53" s="138"/>
      <c r="AM53" s="138"/>
      <c r="AN53" s="138"/>
      <c r="AO53" s="138"/>
      <c r="AP53" s="138"/>
      <c r="AQ53" s="138"/>
      <c r="AR53" s="138"/>
      <c r="AS53" s="138"/>
      <c r="AT53" s="139"/>
      <c r="AU53" s="140"/>
      <c r="AV53" s="140"/>
      <c r="AW53" s="140"/>
      <c r="AX53" s="140"/>
      <c r="AY53" s="140"/>
      <c r="AZ53" s="140"/>
      <c r="BA53" s="140"/>
      <c r="BB53" s="140"/>
      <c r="BC53" s="140"/>
      <c r="BD53" s="140"/>
      <c r="BE53" s="140"/>
      <c r="BF53" s="140"/>
      <c r="BG53" s="140"/>
      <c r="BH53" s="140"/>
      <c r="BI53" s="140"/>
      <c r="BJ53" s="140"/>
      <c r="BK53" s="140"/>
      <c r="BL53" s="140"/>
      <c r="BM53" s="140"/>
      <c r="BN53" s="140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</row>
    <row r="54" spans="1:200" ht="15" customHeight="1" x14ac:dyDescent="0.2">
      <c r="A54" s="18"/>
      <c r="B54" s="18" t="str">
        <f t="shared" si="1"/>
        <v>[ROW:NOV_2019]</v>
      </c>
      <c r="C54" s="29">
        <f>IF(OR(Client_Info!$D$14="",Client_Info!$D$15=""),"",IF(EOMONTH(Client_Info!$D$14,46)&lt;=Client_Info!$D$15,EOMONTH(Client_Info!$D$14,46),""))</f>
        <v>43799</v>
      </c>
      <c r="D54" s="138"/>
      <c r="E54" s="138"/>
      <c r="F54" s="138"/>
      <c r="G54" s="143">
        <v>-1.64</v>
      </c>
      <c r="H54" s="143">
        <v>-6.79</v>
      </c>
      <c r="I54" s="143">
        <v>0.33</v>
      </c>
      <c r="J54" s="143">
        <v>-0.41</v>
      </c>
      <c r="K54" s="138"/>
      <c r="L54" s="138"/>
      <c r="M54" s="138"/>
      <c r="N54" s="138"/>
      <c r="O54" s="138"/>
      <c r="P54" s="138"/>
      <c r="Q54" s="138"/>
      <c r="R54" s="138"/>
      <c r="S54" s="138"/>
      <c r="T54" s="138"/>
      <c r="U54" s="138"/>
      <c r="V54" s="138"/>
      <c r="W54" s="138"/>
      <c r="X54" s="138"/>
      <c r="Y54" s="138"/>
      <c r="Z54" s="138"/>
      <c r="AA54" s="143">
        <v>-1.64</v>
      </c>
      <c r="AB54" s="143">
        <v>-0.41</v>
      </c>
      <c r="AC54" s="138"/>
      <c r="AD54" s="138"/>
      <c r="AE54" s="138"/>
      <c r="AF54" s="138"/>
      <c r="AG54" s="138"/>
      <c r="AH54" s="138"/>
      <c r="AI54" s="138"/>
      <c r="AJ54" s="138"/>
      <c r="AK54" s="138"/>
      <c r="AL54" s="138"/>
      <c r="AM54" s="138"/>
      <c r="AN54" s="138"/>
      <c r="AO54" s="138"/>
      <c r="AP54" s="138"/>
      <c r="AQ54" s="138"/>
      <c r="AR54" s="138"/>
      <c r="AS54" s="138"/>
      <c r="AT54" s="139"/>
      <c r="AU54" s="140"/>
      <c r="AV54" s="140"/>
      <c r="AW54" s="140"/>
      <c r="AX54" s="140"/>
      <c r="AY54" s="140"/>
      <c r="AZ54" s="140"/>
      <c r="BA54" s="140"/>
      <c r="BB54" s="140"/>
      <c r="BC54" s="140"/>
      <c r="BD54" s="140"/>
      <c r="BE54" s="140"/>
      <c r="BF54" s="140"/>
      <c r="BG54" s="140"/>
      <c r="BH54" s="140"/>
      <c r="BI54" s="140"/>
      <c r="BJ54" s="140"/>
      <c r="BK54" s="140"/>
      <c r="BL54" s="140"/>
      <c r="BM54" s="140"/>
      <c r="BN54" s="140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</row>
    <row r="55" spans="1:200" ht="15" customHeight="1" x14ac:dyDescent="0.2">
      <c r="A55" s="18"/>
      <c r="B55" s="18" t="str">
        <f t="shared" si="1"/>
        <v>[ROW:DEC_2019]</v>
      </c>
      <c r="C55" s="29">
        <f>IF(OR(Client_Info!$D$14="",Client_Info!$D$15=""),"",IF(EOMONTH(Client_Info!$D$14,47)&lt;=Client_Info!$D$15,EOMONTH(Client_Info!$D$14,47),""))</f>
        <v>43830</v>
      </c>
      <c r="D55" s="138"/>
      <c r="E55" s="138"/>
      <c r="F55" s="138"/>
      <c r="G55" s="143">
        <v>3.93</v>
      </c>
      <c r="H55" s="143">
        <v>-2.62</v>
      </c>
      <c r="I55" s="143">
        <v>-0.85</v>
      </c>
      <c r="J55" s="143">
        <v>1.1399999999999999</v>
      </c>
      <c r="K55" s="138"/>
      <c r="L55" s="138"/>
      <c r="M55" s="138"/>
      <c r="N55" s="138"/>
      <c r="O55" s="138"/>
      <c r="P55" s="138"/>
      <c r="Q55" s="138"/>
      <c r="R55" s="138"/>
      <c r="S55" s="138"/>
      <c r="T55" s="138"/>
      <c r="U55" s="138"/>
      <c r="V55" s="138"/>
      <c r="W55" s="138"/>
      <c r="X55" s="138"/>
      <c r="Y55" s="138"/>
      <c r="Z55" s="138"/>
      <c r="AA55" s="143">
        <v>3.93</v>
      </c>
      <c r="AB55" s="143">
        <v>1.1399999999999999</v>
      </c>
      <c r="AC55" s="138"/>
      <c r="AD55" s="138"/>
      <c r="AE55" s="138"/>
      <c r="AF55" s="138"/>
      <c r="AG55" s="138"/>
      <c r="AH55" s="138"/>
      <c r="AI55" s="138"/>
      <c r="AJ55" s="138"/>
      <c r="AK55" s="138"/>
      <c r="AL55" s="138"/>
      <c r="AM55" s="138"/>
      <c r="AN55" s="138"/>
      <c r="AO55" s="138"/>
      <c r="AP55" s="138"/>
      <c r="AQ55" s="138"/>
      <c r="AR55" s="138"/>
      <c r="AS55" s="138"/>
      <c r="AT55" s="139"/>
      <c r="AU55" s="140"/>
      <c r="AV55" s="140"/>
      <c r="AW55" s="140"/>
      <c r="AX55" s="140"/>
      <c r="AY55" s="140"/>
      <c r="AZ55" s="140"/>
      <c r="BA55" s="140"/>
      <c r="BB55" s="140"/>
      <c r="BC55" s="140"/>
      <c r="BD55" s="140"/>
      <c r="BE55" s="140"/>
      <c r="BF55" s="140"/>
      <c r="BG55" s="140"/>
      <c r="BH55" s="140"/>
      <c r="BI55" s="140"/>
      <c r="BJ55" s="140"/>
      <c r="BK55" s="140"/>
      <c r="BL55" s="140"/>
      <c r="BM55" s="140"/>
      <c r="BN55" s="140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</row>
    <row r="56" spans="1:200" ht="15" customHeight="1" x14ac:dyDescent="0.2">
      <c r="A56" s="18"/>
      <c r="B56" s="18" t="str">
        <f t="shared" si="1"/>
        <v>[ROW:JAN_2020]</v>
      </c>
      <c r="C56" s="29">
        <f>IF(OR(Client_Info!$D$14="",Client_Info!$D$15=""),"",IF(EOMONTH(Client_Info!$D$14,48)&lt;=Client_Info!$D$15,EOMONTH(Client_Info!$D$14,48),""))</f>
        <v>43861</v>
      </c>
      <c r="D56" s="138"/>
      <c r="E56" s="138"/>
      <c r="F56" s="138"/>
      <c r="G56" s="143">
        <v>2.1</v>
      </c>
      <c r="H56" s="143">
        <v>1.22</v>
      </c>
      <c r="I56" s="143">
        <v>0.03</v>
      </c>
      <c r="J56" s="143">
        <v>0.63</v>
      </c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43">
        <v>2.1</v>
      </c>
      <c r="AB56" s="143">
        <v>0.63</v>
      </c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9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40"/>
      <c r="BH56" s="140"/>
      <c r="BI56" s="140"/>
      <c r="BJ56" s="140"/>
      <c r="BK56" s="140"/>
      <c r="BL56" s="140"/>
      <c r="BM56" s="140"/>
      <c r="BN56" s="140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</row>
    <row r="57" spans="1:200" ht="15" customHeight="1" x14ac:dyDescent="0.2">
      <c r="A57" s="18"/>
      <c r="B57" s="18" t="str">
        <f t="shared" si="1"/>
        <v>[ROW:FEB_2020]</v>
      </c>
      <c r="C57" s="29">
        <f>IF(OR(Client_Info!$D$14="",Client_Info!$D$15=""),"",IF(EOMONTH(Client_Info!$D$14,49)&lt;=Client_Info!$D$15,EOMONTH(Client_Info!$D$14,49),""))</f>
        <v>43890</v>
      </c>
      <c r="D57" s="138"/>
      <c r="E57" s="138"/>
      <c r="F57" s="138"/>
      <c r="G57" s="143">
        <v>-8.18</v>
      </c>
      <c r="H57" s="143">
        <v>4.97</v>
      </c>
      <c r="I57" s="143">
        <v>-0.1</v>
      </c>
      <c r="J57" s="143">
        <v>1.5</v>
      </c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43">
        <v>-8.18</v>
      </c>
      <c r="AB57" s="143">
        <v>1.5</v>
      </c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9"/>
      <c r="AU57" s="140"/>
      <c r="AV57" s="140"/>
      <c r="AW57" s="140"/>
      <c r="AX57" s="140"/>
      <c r="AY57" s="140"/>
      <c r="AZ57" s="140"/>
      <c r="BA57" s="140"/>
      <c r="BB57" s="140"/>
      <c r="BC57" s="140"/>
      <c r="BD57" s="140"/>
      <c r="BE57" s="140"/>
      <c r="BF57" s="140"/>
      <c r="BG57" s="140"/>
      <c r="BH57" s="140"/>
      <c r="BI57" s="140"/>
      <c r="BJ57" s="140"/>
      <c r="BK57" s="140"/>
      <c r="BL57" s="140"/>
      <c r="BM57" s="140"/>
      <c r="BN57" s="140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</row>
    <row r="58" spans="1:200" ht="15" customHeight="1" x14ac:dyDescent="0.2">
      <c r="A58" s="18"/>
      <c r="B58" s="18" t="str">
        <f t="shared" si="1"/>
        <v>[ROW:MAR_2020]</v>
      </c>
      <c r="C58" s="29">
        <f>IF(OR(Client_Info!$D$14="",Client_Info!$D$15=""),"",IF(EOMONTH(Client_Info!$D$14,50)&lt;=Client_Info!$D$15,EOMONTH(Client_Info!$D$14,50),""))</f>
        <v>43921</v>
      </c>
      <c r="D58" s="138"/>
      <c r="E58" s="138"/>
      <c r="F58" s="138"/>
      <c r="G58" s="143">
        <v>-13.35</v>
      </c>
      <c r="H58" s="143">
        <v>-6</v>
      </c>
      <c r="I58" s="143">
        <v>-3.71</v>
      </c>
      <c r="J58" s="143">
        <v>-0.6</v>
      </c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43">
        <v>-13.35</v>
      </c>
      <c r="AB58" s="143">
        <v>-0.6</v>
      </c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9"/>
      <c r="AU58" s="140"/>
      <c r="AV58" s="140"/>
      <c r="AW58" s="140"/>
      <c r="AX58" s="140"/>
      <c r="AY58" s="140"/>
      <c r="AZ58" s="140"/>
      <c r="BA58" s="140"/>
      <c r="BB58" s="140"/>
      <c r="BC58" s="140"/>
      <c r="BD58" s="140"/>
      <c r="BE58" s="140"/>
      <c r="BF58" s="140"/>
      <c r="BG58" s="140"/>
      <c r="BH58" s="140"/>
      <c r="BI58" s="140"/>
      <c r="BJ58" s="140"/>
      <c r="BK58" s="140"/>
      <c r="BL58" s="140"/>
      <c r="BM58" s="140"/>
      <c r="BN58" s="140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</row>
    <row r="59" spans="1:200" ht="15" customHeight="1" x14ac:dyDescent="0.2">
      <c r="A59" s="18"/>
      <c r="B59" s="18" t="str">
        <f t="shared" si="1"/>
        <v>[ROW:APR_2020]</v>
      </c>
      <c r="C59" s="29">
        <f>IF(OR(Client_Info!$D$14="",Client_Info!$D$15=""),"",IF(EOMONTH(Client_Info!$D$14,51)&lt;=Client_Info!$D$15,EOMONTH(Client_Info!$D$14,51),""))</f>
        <v>43951</v>
      </c>
      <c r="D59" s="138"/>
      <c r="E59" s="138"/>
      <c r="F59" s="138"/>
      <c r="G59" s="143">
        <v>11.47</v>
      </c>
      <c r="H59" s="143">
        <v>6.12</v>
      </c>
      <c r="I59" s="143">
        <v>3.04</v>
      </c>
      <c r="J59" s="143">
        <v>1.8</v>
      </c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43">
        <v>11.47</v>
      </c>
      <c r="AB59" s="143">
        <v>1.8</v>
      </c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9"/>
      <c r="AU59" s="140"/>
      <c r="AV59" s="140"/>
      <c r="AW59" s="140"/>
      <c r="AX59" s="140"/>
      <c r="AY59" s="140"/>
      <c r="AZ59" s="140"/>
      <c r="BA59" s="140"/>
      <c r="BB59" s="140"/>
      <c r="BC59" s="140"/>
      <c r="BD59" s="140"/>
      <c r="BE59" s="140"/>
      <c r="BF59" s="140"/>
      <c r="BG59" s="140"/>
      <c r="BH59" s="140"/>
      <c r="BI59" s="140"/>
      <c r="BJ59" s="140"/>
      <c r="BK59" s="140"/>
      <c r="BL59" s="140"/>
      <c r="BM59" s="140"/>
      <c r="BN59" s="140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</row>
    <row r="60" spans="1:200" ht="15" customHeight="1" x14ac:dyDescent="0.2">
      <c r="A60" s="18"/>
      <c r="B60" s="18" t="str">
        <f t="shared" si="1"/>
        <v>[ROW:MAY_2020]</v>
      </c>
      <c r="C60" s="29">
        <f>IF(OR(Client_Info!$D$14="",Client_Info!$D$15=""),"",IF(EOMONTH(Client_Info!$D$14,52)&lt;=Client_Info!$D$15,EOMONTH(Client_Info!$D$14,52),""))</f>
        <v>43982</v>
      </c>
      <c r="D60" s="138"/>
      <c r="E60" s="138"/>
      <c r="F60" s="138"/>
      <c r="G60" s="143">
        <v>-2.74</v>
      </c>
      <c r="H60" s="143">
        <v>0.36</v>
      </c>
      <c r="I60" s="143">
        <v>0.23</v>
      </c>
      <c r="J60" s="143">
        <v>0.19</v>
      </c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43">
        <v>-2.74</v>
      </c>
      <c r="AB60" s="143">
        <v>0.19</v>
      </c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9"/>
      <c r="AU60" s="140"/>
      <c r="AV60" s="140"/>
      <c r="AW60" s="140"/>
      <c r="AX60" s="140"/>
      <c r="AY60" s="140"/>
      <c r="AZ60" s="140"/>
      <c r="BA60" s="140"/>
      <c r="BB60" s="140"/>
      <c r="BC60" s="140"/>
      <c r="BD60" s="140"/>
      <c r="BE60" s="140"/>
      <c r="BF60" s="140"/>
      <c r="BG60" s="140"/>
      <c r="BH60" s="140"/>
      <c r="BI60" s="140"/>
      <c r="BJ60" s="140"/>
      <c r="BK60" s="140"/>
      <c r="BL60" s="140"/>
      <c r="BM60" s="140"/>
      <c r="BN60" s="140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</row>
    <row r="61" spans="1:200" ht="15" customHeight="1" x14ac:dyDescent="0.2">
      <c r="A61" s="18"/>
      <c r="B61" s="18" t="str">
        <f t="shared" si="1"/>
        <v>[ROW:JUN_2020]</v>
      </c>
      <c r="C61" s="29">
        <f>IF(OR(Client_Info!$D$14="",Client_Info!$D$15=""),"",IF(EOMONTH(Client_Info!$D$14,53)&lt;=Client_Info!$D$15,EOMONTH(Client_Info!$D$14,53),""))</f>
        <v>44012</v>
      </c>
      <c r="D61" s="138"/>
      <c r="E61" s="138"/>
      <c r="F61" s="138"/>
      <c r="G61" s="143">
        <v>4.04</v>
      </c>
      <c r="H61" s="143">
        <v>0.81</v>
      </c>
      <c r="I61" s="143">
        <v>0.34</v>
      </c>
      <c r="J61" s="143">
        <v>-0.14000000000000001</v>
      </c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43">
        <v>4.04</v>
      </c>
      <c r="AB61" s="143">
        <v>-0.14000000000000001</v>
      </c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9"/>
      <c r="AU61" s="140"/>
      <c r="AV61" s="140"/>
      <c r="AW61" s="140"/>
      <c r="AX61" s="140"/>
      <c r="AY61" s="140"/>
      <c r="AZ61" s="140"/>
      <c r="BA61" s="140"/>
      <c r="BB61" s="140"/>
      <c r="BC61" s="140"/>
      <c r="BD61" s="140"/>
      <c r="BE61" s="140"/>
      <c r="BF61" s="140"/>
      <c r="BG61" s="140"/>
      <c r="BH61" s="140"/>
      <c r="BI61" s="140"/>
      <c r="BJ61" s="140"/>
      <c r="BK61" s="140"/>
      <c r="BL61" s="140"/>
      <c r="BM61" s="140"/>
      <c r="BN61" s="140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</row>
    <row r="62" spans="1:200" ht="15" customHeight="1" x14ac:dyDescent="0.2">
      <c r="A62" s="18"/>
      <c r="B62" s="18" t="str">
        <f t="shared" si="1"/>
        <v>[ROW:JUL_2020]</v>
      </c>
      <c r="C62" s="29">
        <f>IF(OR(Client_Info!$D$14="",Client_Info!$D$15=""),"",IF(EOMONTH(Client_Info!$D$14,54)&lt;=Client_Info!$D$15,EOMONTH(Client_Info!$D$14,54),""))</f>
        <v>44043</v>
      </c>
      <c r="D62" s="138"/>
      <c r="E62" s="138"/>
      <c r="F62" s="138"/>
      <c r="G62" s="143">
        <v>3.82</v>
      </c>
      <c r="H62" s="143">
        <v>6.95</v>
      </c>
      <c r="I62" s="143">
        <v>1.63</v>
      </c>
      <c r="J62" s="143">
        <v>1.1299999999999999</v>
      </c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43">
        <v>3.82</v>
      </c>
      <c r="AB62" s="143">
        <v>1.1299999999999999</v>
      </c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9"/>
      <c r="AU62" s="140"/>
      <c r="AV62" s="140"/>
      <c r="AW62" s="140"/>
      <c r="AX62" s="140"/>
      <c r="AY62" s="140"/>
      <c r="AZ62" s="140"/>
      <c r="BA62" s="140"/>
      <c r="BB62" s="140"/>
      <c r="BC62" s="140"/>
      <c r="BD62" s="140"/>
      <c r="BE62" s="140"/>
      <c r="BF62" s="140"/>
      <c r="BG62" s="140"/>
      <c r="BH62" s="140"/>
      <c r="BI62" s="140"/>
      <c r="BJ62" s="140"/>
      <c r="BK62" s="140"/>
      <c r="BL62" s="140"/>
      <c r="BM62" s="140"/>
      <c r="BN62" s="140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</row>
    <row r="63" spans="1:200" ht="15" customHeight="1" x14ac:dyDescent="0.2">
      <c r="A63" s="18"/>
      <c r="B63" s="18" t="str">
        <f t="shared" si="1"/>
        <v>[ROW:AUG_2020]</v>
      </c>
      <c r="C63" s="29">
        <f>IF(OR(Client_Info!$D$14="",Client_Info!$D$15=""),"",IF(EOMONTH(Client_Info!$D$14,55)&lt;=Client_Info!$D$15,EOMONTH(Client_Info!$D$14,55),""))</f>
        <v>44074</v>
      </c>
      <c r="D63" s="138"/>
      <c r="E63" s="138"/>
      <c r="F63" s="138"/>
      <c r="G63" s="143">
        <v>1.6</v>
      </c>
      <c r="H63" s="143">
        <v>4.38</v>
      </c>
      <c r="I63" s="143">
        <v>1.59</v>
      </c>
      <c r="J63" s="143">
        <v>-1.66</v>
      </c>
      <c r="K63" s="138"/>
      <c r="L63" s="138"/>
      <c r="M63" s="138"/>
      <c r="N63" s="138"/>
      <c r="O63" s="138"/>
      <c r="P63" s="138"/>
      <c r="Q63" s="138"/>
      <c r="R63" s="138"/>
      <c r="S63" s="138"/>
      <c r="T63" s="138"/>
      <c r="U63" s="138"/>
      <c r="V63" s="138"/>
      <c r="W63" s="138"/>
      <c r="X63" s="138"/>
      <c r="Y63" s="138"/>
      <c r="Z63" s="138"/>
      <c r="AA63" s="143">
        <v>1.6</v>
      </c>
      <c r="AB63" s="143">
        <v>-1.66</v>
      </c>
      <c r="AC63" s="138"/>
      <c r="AD63" s="138"/>
      <c r="AE63" s="138"/>
      <c r="AF63" s="138"/>
      <c r="AG63" s="138"/>
      <c r="AH63" s="138"/>
      <c r="AI63" s="138"/>
      <c r="AJ63" s="138"/>
      <c r="AK63" s="138"/>
      <c r="AL63" s="138"/>
      <c r="AM63" s="138"/>
      <c r="AN63" s="138"/>
      <c r="AO63" s="138"/>
      <c r="AP63" s="138"/>
      <c r="AQ63" s="138"/>
      <c r="AR63" s="138"/>
      <c r="AS63" s="138"/>
      <c r="AT63" s="139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40"/>
      <c r="BM63" s="140"/>
      <c r="BN63" s="140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</row>
    <row r="64" spans="1:200" ht="15" customHeight="1" x14ac:dyDescent="0.2">
      <c r="A64" s="18"/>
      <c r="B64" s="18" t="str">
        <f t="shared" si="1"/>
        <v>[ROW:SEP_2020]</v>
      </c>
      <c r="C64" s="29">
        <f>IF(OR(Client_Info!$D$14="",Client_Info!$D$15=""),"",IF(EOMONTH(Client_Info!$D$14,56)&lt;=Client_Info!$D$15,EOMONTH(Client_Info!$D$14,56),""))</f>
        <v>44104</v>
      </c>
      <c r="D64" s="138"/>
      <c r="E64" s="138"/>
      <c r="F64" s="138"/>
      <c r="G64" s="143">
        <v>0.93</v>
      </c>
      <c r="H64" s="143">
        <v>1.1599999999999999</v>
      </c>
      <c r="I64" s="143">
        <v>2.2599999999999998</v>
      </c>
      <c r="J64" s="143">
        <v>-1.01</v>
      </c>
      <c r="K64" s="138"/>
      <c r="L64" s="138"/>
      <c r="M64" s="138"/>
      <c r="N64" s="138"/>
      <c r="O64" s="138"/>
      <c r="P64" s="138"/>
      <c r="Q64" s="138"/>
      <c r="R64" s="138"/>
      <c r="S64" s="138"/>
      <c r="T64" s="138"/>
      <c r="U64" s="138"/>
      <c r="V64" s="138"/>
      <c r="W64" s="138"/>
      <c r="X64" s="138"/>
      <c r="Y64" s="138"/>
      <c r="Z64" s="138"/>
      <c r="AA64" s="143">
        <v>0.93</v>
      </c>
      <c r="AB64" s="143">
        <v>-1.01</v>
      </c>
      <c r="AC64" s="138"/>
      <c r="AD64" s="138"/>
      <c r="AE64" s="138"/>
      <c r="AF64" s="138"/>
      <c r="AG64" s="138"/>
      <c r="AH64" s="138"/>
      <c r="AI64" s="138"/>
      <c r="AJ64" s="138"/>
      <c r="AK64" s="138"/>
      <c r="AL64" s="138"/>
      <c r="AM64" s="138"/>
      <c r="AN64" s="138"/>
      <c r="AO64" s="138"/>
      <c r="AP64" s="138"/>
      <c r="AQ64" s="138"/>
      <c r="AR64" s="138"/>
      <c r="AS64" s="138"/>
      <c r="AT64" s="139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40"/>
      <c r="BH64" s="140"/>
      <c r="BI64" s="140"/>
      <c r="BJ64" s="140"/>
      <c r="BK64" s="140"/>
      <c r="BL64" s="140"/>
      <c r="BM64" s="140"/>
      <c r="BN64" s="140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</row>
    <row r="65" spans="1:200" ht="15" customHeight="1" x14ac:dyDescent="0.2">
      <c r="A65" s="18"/>
      <c r="B65" s="18" t="str">
        <f t="shared" si="1"/>
        <v>[ROW:OCT_2020]</v>
      </c>
      <c r="C65" s="29">
        <f>IF(OR(Client_Info!$D$14="",Client_Info!$D$15=""),"",IF(EOMONTH(Client_Info!$D$14,57)&lt;=Client_Info!$D$15,EOMONTH(Client_Info!$D$14,57),""))</f>
        <v>44135</v>
      </c>
      <c r="D65" s="138"/>
      <c r="E65" s="138"/>
      <c r="F65" s="138"/>
      <c r="G65" s="143">
        <v>0.45</v>
      </c>
      <c r="H65" s="143">
        <v>1.27</v>
      </c>
      <c r="I65" s="143">
        <v>0.26</v>
      </c>
      <c r="J65" s="143">
        <v>-1.02</v>
      </c>
      <c r="K65" s="138"/>
      <c r="L65" s="138"/>
      <c r="M65" s="138"/>
      <c r="N65" s="138"/>
      <c r="O65" s="138"/>
      <c r="P65" s="138"/>
      <c r="Q65" s="138"/>
      <c r="R65" s="138"/>
      <c r="S65" s="138"/>
      <c r="T65" s="138"/>
      <c r="U65" s="138"/>
      <c r="V65" s="138"/>
      <c r="W65" s="138"/>
      <c r="X65" s="138"/>
      <c r="Y65" s="138"/>
      <c r="Z65" s="138"/>
      <c r="AA65" s="143">
        <v>0.45</v>
      </c>
      <c r="AB65" s="143">
        <v>-1.02</v>
      </c>
      <c r="AC65" s="138"/>
      <c r="AD65" s="138"/>
      <c r="AE65" s="138"/>
      <c r="AF65" s="138"/>
      <c r="AG65" s="138"/>
      <c r="AH65" s="138"/>
      <c r="AI65" s="138"/>
      <c r="AJ65" s="138"/>
      <c r="AK65" s="138"/>
      <c r="AL65" s="138"/>
      <c r="AM65" s="138"/>
      <c r="AN65" s="138"/>
      <c r="AO65" s="138"/>
      <c r="AP65" s="138"/>
      <c r="AQ65" s="138"/>
      <c r="AR65" s="138"/>
      <c r="AS65" s="138"/>
      <c r="AT65" s="139"/>
      <c r="AU65" s="140"/>
      <c r="AV65" s="140"/>
      <c r="AW65" s="140"/>
      <c r="AX65" s="140"/>
      <c r="AY65" s="140"/>
      <c r="AZ65" s="140"/>
      <c r="BA65" s="140"/>
      <c r="BB65" s="140"/>
      <c r="BC65" s="140"/>
      <c r="BD65" s="140"/>
      <c r="BE65" s="140"/>
      <c r="BF65" s="140"/>
      <c r="BG65" s="140"/>
      <c r="BH65" s="140"/>
      <c r="BI65" s="140"/>
      <c r="BJ65" s="140"/>
      <c r="BK65" s="140"/>
      <c r="BL65" s="140"/>
      <c r="BM65" s="140"/>
      <c r="BN65" s="140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</row>
    <row r="66" spans="1:200" ht="15" customHeight="1" x14ac:dyDescent="0.2">
      <c r="A66" s="18"/>
      <c r="B66" s="18" t="str">
        <f t="shared" si="1"/>
        <v>[ROW:NOV_2020]</v>
      </c>
      <c r="C66" s="29">
        <f>IF(OR(Client_Info!$D$14="",Client_Info!$D$15=""),"",IF(EOMONTH(Client_Info!$D$14,58)&lt;=Client_Info!$D$15,EOMONTH(Client_Info!$D$14,58),""))</f>
        <v>44165</v>
      </c>
      <c r="D66" s="138"/>
      <c r="E66" s="138"/>
      <c r="F66" s="138"/>
      <c r="G66" s="143">
        <v>3.69</v>
      </c>
      <c r="H66" s="143">
        <v>1.43</v>
      </c>
      <c r="I66" s="143">
        <v>0.46</v>
      </c>
      <c r="J66" s="143">
        <v>1.31</v>
      </c>
      <c r="K66" s="138"/>
      <c r="L66" s="138"/>
      <c r="M66" s="138"/>
      <c r="N66" s="138"/>
      <c r="O66" s="138"/>
      <c r="P66" s="138"/>
      <c r="Q66" s="138"/>
      <c r="R66" s="138"/>
      <c r="S66" s="138"/>
      <c r="T66" s="138"/>
      <c r="U66" s="138"/>
      <c r="V66" s="138"/>
      <c r="W66" s="138"/>
      <c r="X66" s="138"/>
      <c r="Y66" s="138"/>
      <c r="Z66" s="138"/>
      <c r="AA66" s="143">
        <v>3.69</v>
      </c>
      <c r="AB66" s="143">
        <v>1.31</v>
      </c>
      <c r="AC66" s="138"/>
      <c r="AD66" s="138"/>
      <c r="AE66" s="138"/>
      <c r="AF66" s="138"/>
      <c r="AG66" s="138"/>
      <c r="AH66" s="138"/>
      <c r="AI66" s="138"/>
      <c r="AJ66" s="138"/>
      <c r="AK66" s="138"/>
      <c r="AL66" s="138"/>
      <c r="AM66" s="138"/>
      <c r="AN66" s="138"/>
      <c r="AO66" s="138"/>
      <c r="AP66" s="138"/>
      <c r="AQ66" s="138"/>
      <c r="AR66" s="138"/>
      <c r="AS66" s="138"/>
      <c r="AT66" s="139"/>
      <c r="AU66" s="140"/>
      <c r="AV66" s="140"/>
      <c r="AW66" s="140"/>
      <c r="AX66" s="140"/>
      <c r="AY66" s="140"/>
      <c r="AZ66" s="140"/>
      <c r="BA66" s="140"/>
      <c r="BB66" s="140"/>
      <c r="BC66" s="140"/>
      <c r="BD66" s="140"/>
      <c r="BE66" s="140"/>
      <c r="BF66" s="140"/>
      <c r="BG66" s="140"/>
      <c r="BH66" s="140"/>
      <c r="BI66" s="140"/>
      <c r="BJ66" s="140"/>
      <c r="BK66" s="140"/>
      <c r="BL66" s="140"/>
      <c r="BM66" s="140"/>
      <c r="BN66" s="140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</row>
    <row r="67" spans="1:200" ht="15" customHeight="1" x14ac:dyDescent="0.2">
      <c r="A67" s="18"/>
      <c r="B67" s="18" t="str">
        <f t="shared" si="1"/>
        <v>[ROW:DEC_2020]</v>
      </c>
      <c r="C67" s="29">
        <f>IF(OR(Client_Info!$D$14="",Client_Info!$D$15=""),"",IF(EOMONTH(Client_Info!$D$14,59)&lt;=Client_Info!$D$15,EOMONTH(Client_Info!$D$14,59),""))</f>
        <v>44196</v>
      </c>
      <c r="D67" s="138"/>
      <c r="E67" s="138"/>
      <c r="F67" s="138"/>
      <c r="G67" s="143">
        <v>3.82</v>
      </c>
      <c r="H67" s="143">
        <v>0.23</v>
      </c>
      <c r="I67" s="143">
        <v>1.91</v>
      </c>
      <c r="J67" s="143">
        <v>2.1800000000000002</v>
      </c>
      <c r="K67" s="138"/>
      <c r="L67" s="138"/>
      <c r="M67" s="138"/>
      <c r="N67" s="138"/>
      <c r="O67" s="138"/>
      <c r="P67" s="138"/>
      <c r="Q67" s="138"/>
      <c r="R67" s="138"/>
      <c r="S67" s="138"/>
      <c r="T67" s="138"/>
      <c r="U67" s="138"/>
      <c r="V67" s="138"/>
      <c r="W67" s="138"/>
      <c r="X67" s="138"/>
      <c r="Y67" s="138"/>
      <c r="Z67" s="138"/>
      <c r="AA67" s="143">
        <v>3.82</v>
      </c>
      <c r="AB67" s="143">
        <v>2.1800000000000002</v>
      </c>
      <c r="AC67" s="138"/>
      <c r="AD67" s="138"/>
      <c r="AE67" s="138"/>
      <c r="AF67" s="138"/>
      <c r="AG67" s="138"/>
      <c r="AH67" s="138"/>
      <c r="AI67" s="138"/>
      <c r="AJ67" s="138"/>
      <c r="AK67" s="138"/>
      <c r="AL67" s="138"/>
      <c r="AM67" s="138"/>
      <c r="AN67" s="138"/>
      <c r="AO67" s="138"/>
      <c r="AP67" s="138"/>
      <c r="AQ67" s="138"/>
      <c r="AR67" s="138"/>
      <c r="AS67" s="138"/>
      <c r="AT67" s="139"/>
      <c r="AU67" s="140"/>
      <c r="AV67" s="140"/>
      <c r="AW67" s="140"/>
      <c r="AX67" s="140"/>
      <c r="AY67" s="140"/>
      <c r="AZ67" s="140"/>
      <c r="BA67" s="140"/>
      <c r="BB67" s="140"/>
      <c r="BC67" s="140"/>
      <c r="BD67" s="140"/>
      <c r="BE67" s="140"/>
      <c r="BF67" s="140"/>
      <c r="BG67" s="140"/>
      <c r="BH67" s="140"/>
      <c r="BI67" s="140"/>
      <c r="BJ67" s="140"/>
      <c r="BK67" s="140"/>
      <c r="BL67" s="140"/>
      <c r="BM67" s="140"/>
      <c r="BN67" s="140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</row>
    <row r="68" spans="1:200" ht="15" customHeight="1" x14ac:dyDescent="0.2">
      <c r="A68" s="18"/>
      <c r="B68" s="18" t="str">
        <f t="shared" si="1"/>
        <v>[ROW:JAN_2021]</v>
      </c>
      <c r="C68" s="29">
        <f>IF(OR(Client_Info!$D$14="",Client_Info!$D$15=""),"",IF(EOMONTH(Client_Info!$D$14,60)&lt;=Client_Info!$D$15,EOMONTH(Client_Info!$D$14,60),""))</f>
        <v>44227</v>
      </c>
      <c r="D68" s="138"/>
      <c r="E68" s="138"/>
      <c r="F68" s="138"/>
      <c r="G68" s="143">
        <v>0.43</v>
      </c>
      <c r="H68" s="143">
        <v>-1.34</v>
      </c>
      <c r="I68" s="143">
        <v>0.9</v>
      </c>
      <c r="J68" s="143">
        <v>0.09</v>
      </c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8"/>
      <c r="AA68" s="143">
        <v>0.43</v>
      </c>
      <c r="AB68" s="143">
        <v>0.09</v>
      </c>
      <c r="AC68" s="138"/>
      <c r="AD68" s="138"/>
      <c r="AE68" s="138"/>
      <c r="AF68" s="138"/>
      <c r="AG68" s="138"/>
      <c r="AH68" s="138"/>
      <c r="AI68" s="138"/>
      <c r="AJ68" s="138"/>
      <c r="AK68" s="138"/>
      <c r="AL68" s="138"/>
      <c r="AM68" s="138"/>
      <c r="AN68" s="138"/>
      <c r="AO68" s="138"/>
      <c r="AP68" s="138"/>
      <c r="AQ68" s="138"/>
      <c r="AR68" s="138"/>
      <c r="AS68" s="138"/>
      <c r="AT68" s="139"/>
      <c r="AU68" s="140"/>
      <c r="AV68" s="140"/>
      <c r="AW68" s="140"/>
      <c r="AX68" s="140"/>
      <c r="AY68" s="140"/>
      <c r="AZ68" s="140"/>
      <c r="BA68" s="140"/>
      <c r="BB68" s="140"/>
      <c r="BC68" s="140"/>
      <c r="BD68" s="140"/>
      <c r="BE68" s="140"/>
      <c r="BF68" s="140"/>
      <c r="BG68" s="140"/>
      <c r="BH68" s="140"/>
      <c r="BI68" s="140"/>
      <c r="BJ68" s="140"/>
      <c r="BK68" s="140"/>
      <c r="BL68" s="140"/>
      <c r="BM68" s="140"/>
      <c r="BN68" s="140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</row>
    <row r="69" spans="1:200" ht="15" customHeight="1" x14ac:dyDescent="0.2">
      <c r="A69" s="18"/>
      <c r="B69" s="18" t="str">
        <f t="shared" si="1"/>
        <v>[ROW:FEB_2021]</v>
      </c>
      <c r="C69" s="29">
        <f>IF(OR(Client_Info!$D$14="",Client_Info!$D$15=""),"",IF(EOMONTH(Client_Info!$D$14,61)&lt;=Client_Info!$D$15,EOMONTH(Client_Info!$D$14,61),""))</f>
        <v>44255</v>
      </c>
      <c r="D69" s="138"/>
      <c r="E69" s="138"/>
      <c r="F69" s="138"/>
      <c r="G69" s="143">
        <v>0.82</v>
      </c>
      <c r="H69" s="143">
        <v>-1.17</v>
      </c>
      <c r="I69" s="143">
        <v>0.82</v>
      </c>
      <c r="J69" s="143">
        <v>0.01</v>
      </c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8"/>
      <c r="AA69" s="143">
        <v>0.82</v>
      </c>
      <c r="AB69" s="143">
        <v>0.01</v>
      </c>
      <c r="AC69" s="138"/>
      <c r="AD69" s="138"/>
      <c r="AE69" s="138"/>
      <c r="AF69" s="138"/>
      <c r="AG69" s="138"/>
      <c r="AH69" s="138"/>
      <c r="AI69" s="138"/>
      <c r="AJ69" s="138"/>
      <c r="AK69" s="138"/>
      <c r="AL69" s="138"/>
      <c r="AM69" s="138"/>
      <c r="AN69" s="138"/>
      <c r="AO69" s="138"/>
      <c r="AP69" s="138"/>
      <c r="AQ69" s="138"/>
      <c r="AR69" s="138"/>
      <c r="AS69" s="138"/>
      <c r="AT69" s="139"/>
      <c r="AU69" s="140"/>
      <c r="AV69" s="140"/>
      <c r="AW69" s="140"/>
      <c r="AX69" s="140"/>
      <c r="AY69" s="140"/>
      <c r="AZ69" s="140"/>
      <c r="BA69" s="140"/>
      <c r="BB69" s="140"/>
      <c r="BC69" s="140"/>
      <c r="BD69" s="140"/>
      <c r="BE69" s="140"/>
      <c r="BF69" s="140"/>
      <c r="BG69" s="140"/>
      <c r="BH69" s="140"/>
      <c r="BI69" s="140"/>
      <c r="BJ69" s="140"/>
      <c r="BK69" s="140"/>
      <c r="BL69" s="140"/>
      <c r="BM69" s="140"/>
      <c r="BN69" s="140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</row>
    <row r="70" spans="1:200" ht="15" customHeight="1" x14ac:dyDescent="0.2">
      <c r="A70" s="18"/>
      <c r="B70" s="18" t="str">
        <f t="shared" si="1"/>
        <v>[ROW:MAR_2021]</v>
      </c>
      <c r="C70" s="29">
        <f>IF(OR(Client_Info!$D$14="",Client_Info!$D$15=""),"",IF(EOMONTH(Client_Info!$D$14,62)&lt;=Client_Info!$D$15,EOMONTH(Client_Info!$D$14,62),""))</f>
        <v>44286</v>
      </c>
      <c r="D70" s="138"/>
      <c r="E70" s="138"/>
      <c r="F70" s="138"/>
      <c r="G70" s="143">
        <v>-1.02</v>
      </c>
      <c r="H70" s="143">
        <v>-0.33</v>
      </c>
      <c r="I70" s="143">
        <v>1.32</v>
      </c>
      <c r="J70" s="143">
        <v>0.28999999999999998</v>
      </c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Y70" s="138"/>
      <c r="Z70" s="138"/>
      <c r="AA70" s="143">
        <v>-1.02</v>
      </c>
      <c r="AB70" s="143">
        <v>0.28999999999999998</v>
      </c>
      <c r="AC70" s="138"/>
      <c r="AD70" s="138"/>
      <c r="AE70" s="138"/>
      <c r="AF70" s="138"/>
      <c r="AG70" s="138"/>
      <c r="AH70" s="138"/>
      <c r="AI70" s="138"/>
      <c r="AJ70" s="138"/>
      <c r="AK70" s="138"/>
      <c r="AL70" s="138"/>
      <c r="AM70" s="138"/>
      <c r="AN70" s="138"/>
      <c r="AO70" s="138"/>
      <c r="AP70" s="138"/>
      <c r="AQ70" s="138"/>
      <c r="AR70" s="138"/>
      <c r="AS70" s="138"/>
      <c r="AT70" s="139"/>
      <c r="AU70" s="140"/>
      <c r="AV70" s="140"/>
      <c r="AW70" s="140"/>
      <c r="AX70" s="140"/>
      <c r="AY70" s="140"/>
      <c r="AZ70" s="140"/>
      <c r="BA70" s="140"/>
      <c r="BB70" s="140"/>
      <c r="BC70" s="140"/>
      <c r="BD70" s="140"/>
      <c r="BE70" s="140"/>
      <c r="BF70" s="140"/>
      <c r="BG70" s="140"/>
      <c r="BH70" s="140"/>
      <c r="BI70" s="140"/>
      <c r="BJ70" s="140"/>
      <c r="BK70" s="140"/>
      <c r="BL70" s="140"/>
      <c r="BM70" s="140"/>
      <c r="BN70" s="140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</row>
    <row r="71" spans="1:200" ht="15" customHeight="1" x14ac:dyDescent="0.2">
      <c r="A71" s="18"/>
      <c r="B71" s="18" t="str">
        <f t="shared" si="1"/>
        <v>[ROW:APR_2021]</v>
      </c>
      <c r="C71" s="29">
        <f>IF(OR(Client_Info!$D$14="",Client_Info!$D$15=""),"",IF(EOMONTH(Client_Info!$D$14,63)&lt;=Client_Info!$D$15,EOMONTH(Client_Info!$D$14,63),""))</f>
        <v>44316</v>
      </c>
      <c r="D71" s="138"/>
      <c r="E71" s="138"/>
      <c r="F71" s="138"/>
      <c r="G71" s="143">
        <v>-0.26</v>
      </c>
      <c r="H71" s="143">
        <v>-1.33</v>
      </c>
      <c r="I71" s="143">
        <v>-0.24</v>
      </c>
      <c r="J71" s="143">
        <v>1.55</v>
      </c>
      <c r="K71" s="138"/>
      <c r="L71" s="138"/>
      <c r="M71" s="138"/>
      <c r="N71" s="138"/>
      <c r="O71" s="138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8"/>
      <c r="AA71" s="143">
        <v>-0.26</v>
      </c>
      <c r="AB71" s="143">
        <v>1.55</v>
      </c>
      <c r="AC71" s="138"/>
      <c r="AD71" s="138"/>
      <c r="AE71" s="138"/>
      <c r="AF71" s="138"/>
      <c r="AG71" s="138"/>
      <c r="AH71" s="138"/>
      <c r="AI71" s="138"/>
      <c r="AJ71" s="138"/>
      <c r="AK71" s="138"/>
      <c r="AL71" s="138"/>
      <c r="AM71" s="138"/>
      <c r="AN71" s="138"/>
      <c r="AO71" s="138"/>
      <c r="AP71" s="138"/>
      <c r="AQ71" s="138"/>
      <c r="AR71" s="138"/>
      <c r="AS71" s="138"/>
      <c r="AT71" s="139"/>
      <c r="AU71" s="140"/>
      <c r="AV71" s="140"/>
      <c r="AW71" s="140"/>
      <c r="AX71" s="140"/>
      <c r="AY71" s="140"/>
      <c r="AZ71" s="140"/>
      <c r="BA71" s="140"/>
      <c r="BB71" s="140"/>
      <c r="BC71" s="140"/>
      <c r="BD71" s="140"/>
      <c r="BE71" s="140"/>
      <c r="BF71" s="140"/>
      <c r="BG71" s="140"/>
      <c r="BH71" s="140"/>
      <c r="BI71" s="140"/>
      <c r="BJ71" s="140"/>
      <c r="BK71" s="140"/>
      <c r="BL71" s="140"/>
      <c r="BM71" s="140"/>
      <c r="BN71" s="140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</row>
    <row r="72" spans="1:200" ht="15" customHeight="1" x14ac:dyDescent="0.2">
      <c r="A72" s="18"/>
      <c r="B72" s="18" t="str">
        <f t="shared" ref="B72:B103" si="2">IF(C72="","","[ROW:"&amp;UPPER(TEXT(C72,"MMM"))&amp;"_"&amp;TEXT(C72,"YYYY")&amp;"]")</f>
        <v>[ROW:MAY_2021]</v>
      </c>
      <c r="C72" s="29">
        <f>IF(OR(Client_Info!$D$14="",Client_Info!$D$15=""),"",IF(EOMONTH(Client_Info!$D$14,64)&lt;=Client_Info!$D$15,EOMONTH(Client_Info!$D$14,64),""))</f>
        <v>44347</v>
      </c>
      <c r="D72" s="138"/>
      <c r="E72" s="138"/>
      <c r="F72" s="138"/>
      <c r="G72" s="143">
        <v>2.72</v>
      </c>
      <c r="H72" s="143">
        <v>-1.42</v>
      </c>
      <c r="I72" s="143">
        <v>0.98</v>
      </c>
      <c r="J72" s="143">
        <v>-0.86</v>
      </c>
      <c r="K72" s="138"/>
      <c r="L72" s="138"/>
      <c r="M72" s="138"/>
      <c r="N72" s="138"/>
      <c r="O72" s="138"/>
      <c r="P72" s="138"/>
      <c r="Q72" s="138"/>
      <c r="R72" s="138"/>
      <c r="S72" s="138"/>
      <c r="T72" s="138"/>
      <c r="U72" s="138"/>
      <c r="V72" s="138"/>
      <c r="W72" s="138"/>
      <c r="X72" s="138"/>
      <c r="Y72" s="138"/>
      <c r="Z72" s="138"/>
      <c r="AA72" s="143">
        <v>2.72</v>
      </c>
      <c r="AB72" s="143">
        <v>-0.86</v>
      </c>
      <c r="AC72" s="138"/>
      <c r="AD72" s="138"/>
      <c r="AE72" s="138"/>
      <c r="AF72" s="138"/>
      <c r="AG72" s="138"/>
      <c r="AH72" s="138"/>
      <c r="AI72" s="138"/>
      <c r="AJ72" s="138"/>
      <c r="AK72" s="138"/>
      <c r="AL72" s="138"/>
      <c r="AM72" s="138"/>
      <c r="AN72" s="138"/>
      <c r="AO72" s="138"/>
      <c r="AP72" s="138"/>
      <c r="AQ72" s="138"/>
      <c r="AR72" s="138"/>
      <c r="AS72" s="138"/>
      <c r="AT72" s="139"/>
      <c r="AU72" s="140"/>
      <c r="AV72" s="140"/>
      <c r="AW72" s="140"/>
      <c r="AX72" s="140"/>
      <c r="AY72" s="140"/>
      <c r="AZ72" s="140"/>
      <c r="BA72" s="140"/>
      <c r="BB72" s="140"/>
      <c r="BC72" s="140"/>
      <c r="BD72" s="140"/>
      <c r="BE72" s="140"/>
      <c r="BF72" s="140"/>
      <c r="BG72" s="140"/>
      <c r="BH72" s="140"/>
      <c r="BI72" s="140"/>
      <c r="BJ72" s="140"/>
      <c r="BK72" s="140"/>
      <c r="BL72" s="140"/>
      <c r="BM72" s="140"/>
      <c r="BN72" s="140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</row>
    <row r="73" spans="1:200" ht="15" customHeight="1" x14ac:dyDescent="0.2">
      <c r="A73" s="18"/>
      <c r="B73" s="18" t="str">
        <f t="shared" si="2"/>
        <v>[ROW:JUN_2021]</v>
      </c>
      <c r="C73" s="29">
        <f>IF(OR(Client_Info!$D$14="",Client_Info!$D$15=""),"",IF(EOMONTH(Client_Info!$D$14,65)&lt;=Client_Info!$D$15,EOMONTH(Client_Info!$D$14,65),""))</f>
        <v>44377</v>
      </c>
      <c r="D73" s="138"/>
      <c r="E73" s="138"/>
      <c r="F73" s="138"/>
      <c r="G73" s="143">
        <v>5.08</v>
      </c>
      <c r="H73" s="143">
        <v>0.2</v>
      </c>
      <c r="I73" s="143">
        <v>0.04</v>
      </c>
      <c r="J73" s="143">
        <v>0.48</v>
      </c>
      <c r="K73" s="138"/>
      <c r="L73" s="138"/>
      <c r="M73" s="138"/>
      <c r="N73" s="138"/>
      <c r="O73" s="138"/>
      <c r="P73" s="138"/>
      <c r="Q73" s="138"/>
      <c r="R73" s="138"/>
      <c r="S73" s="138"/>
      <c r="T73" s="138"/>
      <c r="U73" s="138"/>
      <c r="V73" s="138"/>
      <c r="W73" s="138"/>
      <c r="X73" s="138"/>
      <c r="Y73" s="138"/>
      <c r="Z73" s="138"/>
      <c r="AA73" s="143">
        <v>5.08</v>
      </c>
      <c r="AB73" s="143">
        <v>0.48</v>
      </c>
      <c r="AC73" s="138"/>
      <c r="AD73" s="138"/>
      <c r="AE73" s="138"/>
      <c r="AF73" s="138"/>
      <c r="AG73" s="138"/>
      <c r="AH73" s="138"/>
      <c r="AI73" s="138"/>
      <c r="AJ73" s="138"/>
      <c r="AK73" s="138"/>
      <c r="AL73" s="138"/>
      <c r="AM73" s="138"/>
      <c r="AN73" s="138"/>
      <c r="AO73" s="138"/>
      <c r="AP73" s="138"/>
      <c r="AQ73" s="138"/>
      <c r="AR73" s="138"/>
      <c r="AS73" s="138"/>
      <c r="AT73" s="139"/>
      <c r="AU73" s="140"/>
      <c r="AV73" s="140"/>
      <c r="AW73" s="140"/>
      <c r="AX73" s="140"/>
      <c r="AY73" s="140"/>
      <c r="AZ73" s="140"/>
      <c r="BA73" s="140"/>
      <c r="BB73" s="140"/>
      <c r="BC73" s="140"/>
      <c r="BD73" s="140"/>
      <c r="BE73" s="140"/>
      <c r="BF73" s="140"/>
      <c r="BG73" s="140"/>
      <c r="BH73" s="140"/>
      <c r="BI73" s="140"/>
      <c r="BJ73" s="140"/>
      <c r="BK73" s="140"/>
      <c r="BL73" s="140"/>
      <c r="BM73" s="140"/>
      <c r="BN73" s="140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</row>
    <row r="74" spans="1:200" ht="15" customHeight="1" x14ac:dyDescent="0.2">
      <c r="A74" s="18"/>
      <c r="B74" s="18" t="str">
        <f t="shared" si="2"/>
        <v>[ROW:JUL_2021]</v>
      </c>
      <c r="C74" s="29">
        <f>IF(OR(Client_Info!$D$14="",Client_Info!$D$15=""),"",IF(EOMONTH(Client_Info!$D$14,66)&lt;=Client_Info!$D$15,EOMONTH(Client_Info!$D$14,66),""))</f>
        <v>44408</v>
      </c>
      <c r="D74" s="138"/>
      <c r="E74" s="138"/>
      <c r="F74" s="138"/>
      <c r="G74" s="143">
        <v>1.54</v>
      </c>
      <c r="H74" s="143">
        <v>2.33</v>
      </c>
      <c r="I74" s="143">
        <v>0.15</v>
      </c>
      <c r="J74" s="143">
        <v>1.33</v>
      </c>
      <c r="K74" s="138"/>
      <c r="L74" s="138"/>
      <c r="M74" s="138"/>
      <c r="N74" s="138"/>
      <c r="O74" s="138"/>
      <c r="P74" s="138"/>
      <c r="Q74" s="138"/>
      <c r="R74" s="138"/>
      <c r="S74" s="138"/>
      <c r="T74" s="138"/>
      <c r="U74" s="138"/>
      <c r="V74" s="138"/>
      <c r="W74" s="138"/>
      <c r="X74" s="138"/>
      <c r="Y74" s="138"/>
      <c r="Z74" s="138"/>
      <c r="AA74" s="143">
        <v>1.54</v>
      </c>
      <c r="AB74" s="143">
        <v>1.33</v>
      </c>
      <c r="AC74" s="138"/>
      <c r="AD74" s="138"/>
      <c r="AE74" s="138"/>
      <c r="AF74" s="138"/>
      <c r="AG74" s="138"/>
      <c r="AH74" s="138"/>
      <c r="AI74" s="138"/>
      <c r="AJ74" s="138"/>
      <c r="AK74" s="138"/>
      <c r="AL74" s="138"/>
      <c r="AM74" s="138"/>
      <c r="AN74" s="138"/>
      <c r="AO74" s="138"/>
      <c r="AP74" s="138"/>
      <c r="AQ74" s="138"/>
      <c r="AR74" s="138"/>
      <c r="AS74" s="138"/>
      <c r="AT74" s="139"/>
      <c r="AU74" s="140"/>
      <c r="AV74" s="140"/>
      <c r="AW74" s="140"/>
      <c r="AX74" s="140"/>
      <c r="AY74" s="140"/>
      <c r="AZ74" s="140"/>
      <c r="BA74" s="140"/>
      <c r="BB74" s="140"/>
      <c r="BC74" s="140"/>
      <c r="BD74" s="140"/>
      <c r="BE74" s="140"/>
      <c r="BF74" s="140"/>
      <c r="BG74" s="140"/>
      <c r="BH74" s="140"/>
      <c r="BI74" s="140"/>
      <c r="BJ74" s="140"/>
      <c r="BK74" s="140"/>
      <c r="BL74" s="140"/>
      <c r="BM74" s="140"/>
      <c r="BN74" s="140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</row>
    <row r="75" spans="1:200" ht="15" customHeight="1" x14ac:dyDescent="0.2">
      <c r="A75" s="18"/>
      <c r="B75" s="18" t="str">
        <f t="shared" si="2"/>
        <v>[ROW:AUG_2021]</v>
      </c>
      <c r="C75" s="29">
        <f>IF(OR(Client_Info!$D$14="",Client_Info!$D$15=""),"",IF(EOMONTH(Client_Info!$D$14,67)&lt;=Client_Info!$D$15,EOMONTH(Client_Info!$D$14,67),""))</f>
        <v>44439</v>
      </c>
      <c r="D75" s="138"/>
      <c r="E75" s="138"/>
      <c r="F75" s="138"/>
      <c r="G75" s="143">
        <v>2.97</v>
      </c>
      <c r="H75" s="143">
        <v>1.73</v>
      </c>
      <c r="I75" s="143">
        <v>7.0000000000000007E-2</v>
      </c>
      <c r="J75" s="143">
        <v>0.79</v>
      </c>
      <c r="K75" s="138"/>
      <c r="L75" s="138"/>
      <c r="M75" s="138"/>
      <c r="N75" s="138"/>
      <c r="O75" s="138"/>
      <c r="P75" s="138"/>
      <c r="Q75" s="138"/>
      <c r="R75" s="138"/>
      <c r="S75" s="138"/>
      <c r="T75" s="138"/>
      <c r="U75" s="138"/>
      <c r="V75" s="138"/>
      <c r="W75" s="138"/>
      <c r="X75" s="138"/>
      <c r="Y75" s="138"/>
      <c r="Z75" s="138"/>
      <c r="AA75" s="143">
        <v>2.97</v>
      </c>
      <c r="AB75" s="143">
        <v>0.79</v>
      </c>
      <c r="AC75" s="138"/>
      <c r="AD75" s="138"/>
      <c r="AE75" s="138"/>
      <c r="AF75" s="138"/>
      <c r="AG75" s="138"/>
      <c r="AH75" s="138"/>
      <c r="AI75" s="138"/>
      <c r="AJ75" s="138"/>
      <c r="AK75" s="138"/>
      <c r="AL75" s="138"/>
      <c r="AM75" s="138"/>
      <c r="AN75" s="138"/>
      <c r="AO75" s="138"/>
      <c r="AP75" s="138"/>
      <c r="AQ75" s="138"/>
      <c r="AR75" s="138"/>
      <c r="AS75" s="138"/>
      <c r="AT75" s="139"/>
      <c r="AU75" s="140"/>
      <c r="AV75" s="140"/>
      <c r="AW75" s="140"/>
      <c r="AX75" s="140"/>
      <c r="AY75" s="140"/>
      <c r="AZ75" s="140"/>
      <c r="BA75" s="140"/>
      <c r="BB75" s="140"/>
      <c r="BC75" s="140"/>
      <c r="BD75" s="140"/>
      <c r="BE75" s="140"/>
      <c r="BF75" s="140"/>
      <c r="BG75" s="140"/>
      <c r="BH75" s="140"/>
      <c r="BI75" s="140"/>
      <c r="BJ75" s="140"/>
      <c r="BK75" s="140"/>
      <c r="BL75" s="140"/>
      <c r="BM75" s="140"/>
      <c r="BN75" s="140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</row>
    <row r="76" spans="1:200" ht="15" customHeight="1" x14ac:dyDescent="0.2">
      <c r="A76" s="18"/>
      <c r="B76" s="18" t="str">
        <f t="shared" si="2"/>
        <v>[ROW:SEP_2021]</v>
      </c>
      <c r="C76" s="29">
        <f>IF(OR(Client_Info!$D$14="",Client_Info!$D$15=""),"",IF(EOMONTH(Client_Info!$D$14,68)&lt;=Client_Info!$D$15,EOMONTH(Client_Info!$D$14,68),""))</f>
        <v>44469</v>
      </c>
      <c r="D76" s="138"/>
      <c r="E76" s="138"/>
      <c r="F76" s="138"/>
      <c r="G76" s="143">
        <v>3.22</v>
      </c>
      <c r="H76" s="143">
        <v>-3.12</v>
      </c>
      <c r="I76" s="143">
        <v>1.25</v>
      </c>
      <c r="J76" s="143">
        <v>0.43</v>
      </c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38"/>
      <c r="X76" s="138"/>
      <c r="Y76" s="138"/>
      <c r="Z76" s="138"/>
      <c r="AA76" s="143">
        <v>3.22</v>
      </c>
      <c r="AB76" s="143">
        <v>0.43</v>
      </c>
      <c r="AC76" s="138"/>
      <c r="AD76" s="138"/>
      <c r="AE76" s="138"/>
      <c r="AF76" s="138"/>
      <c r="AG76" s="138"/>
      <c r="AH76" s="138"/>
      <c r="AI76" s="138"/>
      <c r="AJ76" s="138"/>
      <c r="AK76" s="138"/>
      <c r="AL76" s="138"/>
      <c r="AM76" s="138"/>
      <c r="AN76" s="138"/>
      <c r="AO76" s="138"/>
      <c r="AP76" s="138"/>
      <c r="AQ76" s="138"/>
      <c r="AR76" s="138"/>
      <c r="AS76" s="138"/>
      <c r="AT76" s="139"/>
      <c r="AU76" s="140"/>
      <c r="AV76" s="140"/>
      <c r="AW76" s="140"/>
      <c r="AX76" s="140"/>
      <c r="AY76" s="140"/>
      <c r="AZ76" s="140"/>
      <c r="BA76" s="140"/>
      <c r="BB76" s="140"/>
      <c r="BC76" s="140"/>
      <c r="BD76" s="140"/>
      <c r="BE76" s="140"/>
      <c r="BF76" s="140"/>
      <c r="BG76" s="140"/>
      <c r="BH76" s="140"/>
      <c r="BI76" s="140"/>
      <c r="BJ76" s="140"/>
      <c r="BK76" s="140"/>
      <c r="BL76" s="140"/>
      <c r="BM76" s="140"/>
      <c r="BN76" s="140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</row>
    <row r="77" spans="1:200" ht="15" customHeight="1" x14ac:dyDescent="0.2">
      <c r="A77" s="18"/>
      <c r="B77" s="18" t="str">
        <f t="shared" si="2"/>
        <v>[ROW:OCT_2021]</v>
      </c>
      <c r="C77" s="29">
        <f>IF(OR(Client_Info!$D$14="",Client_Info!$D$15=""),"",IF(EOMONTH(Client_Info!$D$14,69)&lt;=Client_Info!$D$15,EOMONTH(Client_Info!$D$14,69),""))</f>
        <v>44500</v>
      </c>
      <c r="D77" s="138"/>
      <c r="E77" s="138"/>
      <c r="F77" s="138"/>
      <c r="G77" s="143">
        <v>-2.4700000000000002</v>
      </c>
      <c r="H77" s="143">
        <v>2.4</v>
      </c>
      <c r="I77" s="143">
        <v>0.61</v>
      </c>
      <c r="J77" s="143">
        <v>1.36</v>
      </c>
      <c r="K77" s="138"/>
      <c r="L77" s="138"/>
      <c r="M77" s="138"/>
      <c r="N77" s="138"/>
      <c r="O77" s="138"/>
      <c r="P77" s="138"/>
      <c r="Q77" s="138"/>
      <c r="R77" s="138"/>
      <c r="S77" s="138"/>
      <c r="T77" s="138"/>
      <c r="U77" s="138"/>
      <c r="V77" s="138"/>
      <c r="W77" s="138"/>
      <c r="X77" s="138"/>
      <c r="Y77" s="138"/>
      <c r="Z77" s="138"/>
      <c r="AA77" s="143">
        <v>-2.4700000000000002</v>
      </c>
      <c r="AB77" s="143">
        <v>1.36</v>
      </c>
      <c r="AC77" s="138"/>
      <c r="AD77" s="138"/>
      <c r="AE77" s="138"/>
      <c r="AF77" s="138"/>
      <c r="AG77" s="138"/>
      <c r="AH77" s="138"/>
      <c r="AI77" s="138"/>
      <c r="AJ77" s="138"/>
      <c r="AK77" s="138"/>
      <c r="AL77" s="138"/>
      <c r="AM77" s="138"/>
      <c r="AN77" s="138"/>
      <c r="AO77" s="138"/>
      <c r="AP77" s="138"/>
      <c r="AQ77" s="138"/>
      <c r="AR77" s="138"/>
      <c r="AS77" s="138"/>
      <c r="AT77" s="139"/>
      <c r="AU77" s="140"/>
      <c r="AV77" s="140"/>
      <c r="AW77" s="140"/>
      <c r="AX77" s="140"/>
      <c r="AY77" s="140"/>
      <c r="AZ77" s="140"/>
      <c r="BA77" s="140"/>
      <c r="BB77" s="140"/>
      <c r="BC77" s="140"/>
      <c r="BD77" s="140"/>
      <c r="BE77" s="140"/>
      <c r="BF77" s="140"/>
      <c r="BG77" s="140"/>
      <c r="BH77" s="140"/>
      <c r="BI77" s="140"/>
      <c r="BJ77" s="140"/>
      <c r="BK77" s="140"/>
      <c r="BL77" s="140"/>
      <c r="BM77" s="140"/>
      <c r="BN77" s="140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</row>
    <row r="78" spans="1:200" ht="15" customHeight="1" x14ac:dyDescent="0.2">
      <c r="A78" s="18"/>
      <c r="B78" s="18" t="str">
        <f t="shared" si="2"/>
        <v>[ROW:NOV_2021]</v>
      </c>
      <c r="C78" s="29">
        <f>IF(OR(Client_Info!$D$14="",Client_Info!$D$15=""),"",IF(EOMONTH(Client_Info!$D$14,70)&lt;=Client_Info!$D$15,EOMONTH(Client_Info!$D$14,70),""))</f>
        <v>44530</v>
      </c>
      <c r="D78" s="138"/>
      <c r="E78" s="138"/>
      <c r="F78" s="138"/>
      <c r="G78" s="143">
        <v>0.49</v>
      </c>
      <c r="H78" s="143">
        <v>3.35</v>
      </c>
      <c r="I78" s="143">
        <v>0.21</v>
      </c>
      <c r="J78" s="143">
        <v>-2.91</v>
      </c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  <c r="X78" s="138"/>
      <c r="Y78" s="138"/>
      <c r="Z78" s="138"/>
      <c r="AA78" s="143">
        <v>0.49</v>
      </c>
      <c r="AB78" s="143">
        <v>-2.91</v>
      </c>
      <c r="AC78" s="138"/>
      <c r="AD78" s="138"/>
      <c r="AE78" s="138"/>
      <c r="AF78" s="138"/>
      <c r="AG78" s="138"/>
      <c r="AH78" s="138"/>
      <c r="AI78" s="138"/>
      <c r="AJ78" s="138"/>
      <c r="AK78" s="138"/>
      <c r="AL78" s="138"/>
      <c r="AM78" s="138"/>
      <c r="AN78" s="138"/>
      <c r="AO78" s="138"/>
      <c r="AP78" s="138"/>
      <c r="AQ78" s="138"/>
      <c r="AR78" s="138"/>
      <c r="AS78" s="138"/>
      <c r="AT78" s="139"/>
      <c r="AU78" s="140"/>
      <c r="AV78" s="140"/>
      <c r="AW78" s="140"/>
      <c r="AX78" s="140"/>
      <c r="AY78" s="140"/>
      <c r="AZ78" s="140"/>
      <c r="BA78" s="140"/>
      <c r="BB78" s="140"/>
      <c r="BC78" s="140"/>
      <c r="BD78" s="140"/>
      <c r="BE78" s="140"/>
      <c r="BF78" s="140"/>
      <c r="BG78" s="140"/>
      <c r="BH78" s="140"/>
      <c r="BI78" s="140"/>
      <c r="BJ78" s="140"/>
      <c r="BK78" s="140"/>
      <c r="BL78" s="140"/>
      <c r="BM78" s="140"/>
      <c r="BN78" s="140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</row>
    <row r="79" spans="1:200" ht="15" customHeight="1" x14ac:dyDescent="0.2">
      <c r="A79" s="18"/>
      <c r="B79" s="18" t="str">
        <f t="shared" si="2"/>
        <v>[ROW:DEC_2021]</v>
      </c>
      <c r="C79" s="29">
        <f>IF(OR(Client_Info!$D$14="",Client_Info!$D$15=""),"",IF(EOMONTH(Client_Info!$D$14,71)&lt;=Client_Info!$D$15,EOMONTH(Client_Info!$D$14,71),""))</f>
        <v>44561</v>
      </c>
      <c r="D79" s="138"/>
      <c r="E79" s="138"/>
      <c r="F79" s="138"/>
      <c r="G79" s="143">
        <v>4.17</v>
      </c>
      <c r="H79" s="143">
        <v>-3.57</v>
      </c>
      <c r="I79" s="143">
        <v>-1.27</v>
      </c>
      <c r="J79" s="143">
        <v>0.99</v>
      </c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8"/>
      <c r="AA79" s="143">
        <v>4.17</v>
      </c>
      <c r="AB79" s="143">
        <v>0.99</v>
      </c>
      <c r="AC79" s="138"/>
      <c r="AD79" s="138"/>
      <c r="AE79" s="138"/>
      <c r="AF79" s="138"/>
      <c r="AG79" s="138"/>
      <c r="AH79" s="138"/>
      <c r="AI79" s="138"/>
      <c r="AJ79" s="138"/>
      <c r="AK79" s="138"/>
      <c r="AL79" s="138"/>
      <c r="AM79" s="138"/>
      <c r="AN79" s="138"/>
      <c r="AO79" s="138"/>
      <c r="AP79" s="138"/>
      <c r="AQ79" s="138"/>
      <c r="AR79" s="138"/>
      <c r="AS79" s="138"/>
      <c r="AT79" s="139"/>
      <c r="AU79" s="140"/>
      <c r="AV79" s="140"/>
      <c r="AW79" s="140"/>
      <c r="AX79" s="140"/>
      <c r="AY79" s="140"/>
      <c r="AZ79" s="140"/>
      <c r="BA79" s="140"/>
      <c r="BB79" s="140"/>
      <c r="BC79" s="140"/>
      <c r="BD79" s="140"/>
      <c r="BE79" s="140"/>
      <c r="BF79" s="140"/>
      <c r="BG79" s="140"/>
      <c r="BH79" s="140"/>
      <c r="BI79" s="140"/>
      <c r="BJ79" s="140"/>
      <c r="BK79" s="140"/>
      <c r="BL79" s="140"/>
      <c r="BM79" s="140"/>
      <c r="BN79" s="140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</row>
    <row r="80" spans="1:200" ht="15" customHeight="1" x14ac:dyDescent="0.2">
      <c r="A80" s="18"/>
      <c r="B80" s="18" t="str">
        <f t="shared" si="2"/>
        <v>[ROW:JAN_2022]</v>
      </c>
      <c r="C80" s="29">
        <f>IF(OR(Client_Info!$D$14="",Client_Info!$D$15=""),"",IF(EOMONTH(Client_Info!$D$14,72)&lt;=Client_Info!$D$15,EOMONTH(Client_Info!$D$14,72),""))</f>
        <v>44592</v>
      </c>
      <c r="D80" s="138"/>
      <c r="E80" s="138"/>
      <c r="F80" s="138"/>
      <c r="G80" s="143">
        <v>-4.62</v>
      </c>
      <c r="H80" s="143">
        <v>-2.83</v>
      </c>
      <c r="I80" s="143">
        <v>-0.06</v>
      </c>
      <c r="J80" s="143">
        <v>-2</v>
      </c>
      <c r="K80" s="138"/>
      <c r="L80" s="138"/>
      <c r="M80" s="138"/>
      <c r="N80" s="138"/>
      <c r="O80" s="138"/>
      <c r="P80" s="138"/>
      <c r="Q80" s="138"/>
      <c r="R80" s="138"/>
      <c r="S80" s="138"/>
      <c r="T80" s="138"/>
      <c r="U80" s="138"/>
      <c r="V80" s="138"/>
      <c r="W80" s="138"/>
      <c r="X80" s="138"/>
      <c r="Y80" s="138"/>
      <c r="Z80" s="138"/>
      <c r="AA80" s="143">
        <v>-4.62</v>
      </c>
      <c r="AB80" s="143">
        <v>-2</v>
      </c>
      <c r="AC80" s="138"/>
      <c r="AD80" s="138"/>
      <c r="AE80" s="138"/>
      <c r="AF80" s="138"/>
      <c r="AG80" s="138"/>
      <c r="AH80" s="138"/>
      <c r="AI80" s="138"/>
      <c r="AJ80" s="138"/>
      <c r="AK80" s="138"/>
      <c r="AL80" s="138"/>
      <c r="AM80" s="138"/>
      <c r="AN80" s="138"/>
      <c r="AO80" s="138"/>
      <c r="AP80" s="138"/>
      <c r="AQ80" s="138"/>
      <c r="AR80" s="138"/>
      <c r="AS80" s="138"/>
      <c r="AT80" s="139"/>
      <c r="AU80" s="140"/>
      <c r="AV80" s="140"/>
      <c r="AW80" s="140"/>
      <c r="AX80" s="140"/>
      <c r="AY80" s="140"/>
      <c r="AZ80" s="140"/>
      <c r="BA80" s="140"/>
      <c r="BB80" s="140"/>
      <c r="BC80" s="140"/>
      <c r="BD80" s="140"/>
      <c r="BE80" s="140"/>
      <c r="BF80" s="140"/>
      <c r="BG80" s="140"/>
      <c r="BH80" s="140"/>
      <c r="BI80" s="140"/>
      <c r="BJ80" s="140"/>
      <c r="BK80" s="140"/>
      <c r="BL80" s="140"/>
      <c r="BM80" s="140"/>
      <c r="BN80" s="140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</row>
    <row r="81" spans="1:200" ht="15" customHeight="1" x14ac:dyDescent="0.2">
      <c r="A81" s="18"/>
      <c r="B81" s="18" t="str">
        <f t="shared" si="2"/>
        <v>[ROW:FEB_2022]</v>
      </c>
      <c r="C81" s="29">
        <f>IF(OR(Client_Info!$D$14="",Client_Info!$D$15=""),"",IF(EOMONTH(Client_Info!$D$14,73)&lt;=Client_Info!$D$15,EOMONTH(Client_Info!$D$14,73),""))</f>
        <v>44620</v>
      </c>
      <c r="D81" s="138"/>
      <c r="E81" s="138"/>
      <c r="F81" s="138"/>
      <c r="G81" s="143">
        <v>-2.5</v>
      </c>
      <c r="H81" s="143">
        <v>-2.0699999999999998</v>
      </c>
      <c r="I81" s="143">
        <v>-0.81</v>
      </c>
      <c r="J81" s="143">
        <v>-2.5</v>
      </c>
      <c r="K81" s="138"/>
      <c r="L81" s="138"/>
      <c r="M81" s="138"/>
      <c r="N81" s="138"/>
      <c r="O81" s="138"/>
      <c r="P81" s="138"/>
      <c r="Q81" s="138"/>
      <c r="R81" s="138"/>
      <c r="S81" s="138"/>
      <c r="T81" s="138"/>
      <c r="U81" s="138"/>
      <c r="V81" s="138"/>
      <c r="W81" s="138"/>
      <c r="X81" s="138"/>
      <c r="Y81" s="138"/>
      <c r="Z81" s="138"/>
      <c r="AA81" s="143">
        <v>-2.5</v>
      </c>
      <c r="AB81" s="143">
        <v>-2.5</v>
      </c>
      <c r="AC81" s="138"/>
      <c r="AD81" s="138"/>
      <c r="AE81" s="138"/>
      <c r="AF81" s="138"/>
      <c r="AG81" s="138"/>
      <c r="AH81" s="138"/>
      <c r="AI81" s="138"/>
      <c r="AJ81" s="138"/>
      <c r="AK81" s="138"/>
      <c r="AL81" s="138"/>
      <c r="AM81" s="138"/>
      <c r="AN81" s="138"/>
      <c r="AO81" s="138"/>
      <c r="AP81" s="138"/>
      <c r="AQ81" s="138"/>
      <c r="AR81" s="138"/>
      <c r="AS81" s="138"/>
      <c r="AT81" s="139"/>
      <c r="AU81" s="140"/>
      <c r="AV81" s="140"/>
      <c r="AW81" s="140"/>
      <c r="AX81" s="140"/>
      <c r="AY81" s="140"/>
      <c r="AZ81" s="140"/>
      <c r="BA81" s="140"/>
      <c r="BB81" s="140"/>
      <c r="BC81" s="140"/>
      <c r="BD81" s="140"/>
      <c r="BE81" s="140"/>
      <c r="BF81" s="140"/>
      <c r="BG81" s="140"/>
      <c r="BH81" s="140"/>
      <c r="BI81" s="140"/>
      <c r="BJ81" s="140"/>
      <c r="BK81" s="140"/>
      <c r="BL81" s="140"/>
      <c r="BM81" s="140"/>
      <c r="BN81" s="140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</row>
    <row r="82" spans="1:200" ht="15" customHeight="1" x14ac:dyDescent="0.2">
      <c r="A82" s="18"/>
      <c r="B82" s="18" t="str">
        <f t="shared" si="2"/>
        <v>[ROW:MAR_2022]</v>
      </c>
      <c r="C82" s="29">
        <f>IF(OR(Client_Info!$D$14="",Client_Info!$D$15=""),"",IF(EOMONTH(Client_Info!$D$14,74)&lt;=Client_Info!$D$15,EOMONTH(Client_Info!$D$14,74),""))</f>
        <v>44651</v>
      </c>
      <c r="D82" s="138"/>
      <c r="E82" s="138"/>
      <c r="F82" s="138"/>
      <c r="G82" s="143">
        <v>1.99</v>
      </c>
      <c r="H82" s="143">
        <v>-4.21</v>
      </c>
      <c r="I82" s="143">
        <v>1.87</v>
      </c>
      <c r="J82" s="143">
        <v>0.5</v>
      </c>
      <c r="K82" s="138"/>
      <c r="L82" s="138"/>
      <c r="M82" s="138"/>
      <c r="N82" s="138"/>
      <c r="O82" s="138"/>
      <c r="P82" s="138"/>
      <c r="Q82" s="138"/>
      <c r="R82" s="138"/>
      <c r="S82" s="138"/>
      <c r="T82" s="138"/>
      <c r="U82" s="138"/>
      <c r="V82" s="138"/>
      <c r="W82" s="138"/>
      <c r="X82" s="138"/>
      <c r="Y82" s="138"/>
      <c r="Z82" s="138"/>
      <c r="AA82" s="143">
        <v>1.99</v>
      </c>
      <c r="AB82" s="143">
        <v>0.5</v>
      </c>
      <c r="AC82" s="138"/>
      <c r="AD82" s="138"/>
      <c r="AE82" s="138"/>
      <c r="AF82" s="138"/>
      <c r="AG82" s="138"/>
      <c r="AH82" s="138"/>
      <c r="AI82" s="138"/>
      <c r="AJ82" s="138"/>
      <c r="AK82" s="138"/>
      <c r="AL82" s="138"/>
      <c r="AM82" s="138"/>
      <c r="AN82" s="138"/>
      <c r="AO82" s="138"/>
      <c r="AP82" s="138"/>
      <c r="AQ82" s="138"/>
      <c r="AR82" s="138"/>
      <c r="AS82" s="138"/>
      <c r="AT82" s="139"/>
      <c r="AU82" s="140"/>
      <c r="AV82" s="140"/>
      <c r="AW82" s="140"/>
      <c r="AX82" s="140"/>
      <c r="AY82" s="140"/>
      <c r="AZ82" s="140"/>
      <c r="BA82" s="140"/>
      <c r="BB82" s="140"/>
      <c r="BC82" s="140"/>
      <c r="BD82" s="140"/>
      <c r="BE82" s="140"/>
      <c r="BF82" s="140"/>
      <c r="BG82" s="140"/>
      <c r="BH82" s="140"/>
      <c r="BI82" s="140"/>
      <c r="BJ82" s="140"/>
      <c r="BK82" s="140"/>
      <c r="BL82" s="140"/>
      <c r="BM82" s="140"/>
      <c r="BN82" s="140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</row>
    <row r="83" spans="1:200" ht="15" customHeight="1" x14ac:dyDescent="0.2">
      <c r="A83" s="18"/>
      <c r="B83" s="18" t="str">
        <f t="shared" si="2"/>
        <v>[ROW:APR_2022]</v>
      </c>
      <c r="C83" s="29">
        <f>IF(OR(Client_Info!$D$14="",Client_Info!$D$15=""),"",IF(EOMONTH(Client_Info!$D$14,75)&lt;=Client_Info!$D$15,EOMONTH(Client_Info!$D$14,75),""))</f>
        <v>44681</v>
      </c>
      <c r="D83" s="138"/>
      <c r="E83" s="138"/>
      <c r="F83" s="138"/>
      <c r="G83" s="143">
        <v>-7.48</v>
      </c>
      <c r="H83" s="143">
        <v>-4.13</v>
      </c>
      <c r="I83" s="143">
        <v>1.1399999999999999</v>
      </c>
      <c r="J83" s="143">
        <v>-1.5</v>
      </c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8"/>
      <c r="AA83" s="143">
        <v>-7.48</v>
      </c>
      <c r="AB83" s="143">
        <v>-1.5</v>
      </c>
      <c r="AC83" s="138"/>
      <c r="AD83" s="138"/>
      <c r="AE83" s="138"/>
      <c r="AF83" s="138"/>
      <c r="AG83" s="138"/>
      <c r="AH83" s="138"/>
      <c r="AI83" s="138"/>
      <c r="AJ83" s="138"/>
      <c r="AK83" s="138"/>
      <c r="AL83" s="138"/>
      <c r="AM83" s="138"/>
      <c r="AN83" s="138"/>
      <c r="AO83" s="138"/>
      <c r="AP83" s="138"/>
      <c r="AQ83" s="138"/>
      <c r="AR83" s="138"/>
      <c r="AS83" s="138"/>
      <c r="AT83" s="139"/>
      <c r="AU83" s="140"/>
      <c r="AV83" s="140"/>
      <c r="AW83" s="140"/>
      <c r="AX83" s="140"/>
      <c r="AY83" s="140"/>
      <c r="AZ83" s="140"/>
      <c r="BA83" s="140"/>
      <c r="BB83" s="140"/>
      <c r="BC83" s="140"/>
      <c r="BD83" s="140"/>
      <c r="BE83" s="140"/>
      <c r="BF83" s="140"/>
      <c r="BG83" s="140"/>
      <c r="BH83" s="140"/>
      <c r="BI83" s="140"/>
      <c r="BJ83" s="140"/>
      <c r="BK83" s="140"/>
      <c r="BL83" s="140"/>
      <c r="BM83" s="140"/>
      <c r="BN83" s="140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</row>
    <row r="84" spans="1:200" ht="15" customHeight="1" x14ac:dyDescent="0.2">
      <c r="A84" s="18"/>
      <c r="B84" s="18" t="str">
        <f t="shared" si="2"/>
        <v>[ROW:MAY_2022]</v>
      </c>
      <c r="C84" s="29">
        <f>IF(OR(Client_Info!$D$14="",Client_Info!$D$15=""),"",IF(EOMONTH(Client_Info!$D$14,76)&lt;=Client_Info!$D$15,EOMONTH(Client_Info!$D$14,76),""))</f>
        <v>44712</v>
      </c>
      <c r="D84" s="138"/>
      <c r="E84" s="138"/>
      <c r="F84" s="138"/>
      <c r="G84" s="143">
        <v>0.1</v>
      </c>
      <c r="H84" s="143">
        <v>-0.81</v>
      </c>
      <c r="I84" s="143">
        <v>0.62</v>
      </c>
      <c r="J84" s="143">
        <v>-1.5</v>
      </c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8"/>
      <c r="AA84" s="143">
        <v>0.1</v>
      </c>
      <c r="AB84" s="143">
        <v>-1.5</v>
      </c>
      <c r="AC84" s="138"/>
      <c r="AD84" s="138"/>
      <c r="AE84" s="138"/>
      <c r="AF84" s="138"/>
      <c r="AG84" s="138"/>
      <c r="AH84" s="138"/>
      <c r="AI84" s="138"/>
      <c r="AJ84" s="138"/>
      <c r="AK84" s="138"/>
      <c r="AL84" s="138"/>
      <c r="AM84" s="138"/>
      <c r="AN84" s="138"/>
      <c r="AO84" s="138"/>
      <c r="AP84" s="138"/>
      <c r="AQ84" s="138"/>
      <c r="AR84" s="138"/>
      <c r="AS84" s="138"/>
      <c r="AT84" s="139"/>
      <c r="AU84" s="140"/>
      <c r="AV84" s="140"/>
      <c r="AW84" s="140"/>
      <c r="AX84" s="140"/>
      <c r="AY84" s="140"/>
      <c r="AZ84" s="140"/>
      <c r="BA84" s="140"/>
      <c r="BB84" s="140"/>
      <c r="BC84" s="140"/>
      <c r="BD84" s="140"/>
      <c r="BE84" s="140"/>
      <c r="BF84" s="140"/>
      <c r="BG84" s="140"/>
      <c r="BH84" s="140"/>
      <c r="BI84" s="140"/>
      <c r="BJ84" s="140"/>
      <c r="BK84" s="140"/>
      <c r="BL84" s="140"/>
      <c r="BM84" s="140"/>
      <c r="BN84" s="140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</row>
    <row r="85" spans="1:200" ht="15" customHeight="1" x14ac:dyDescent="0.2">
      <c r="A85" s="18"/>
      <c r="B85" s="18" t="str">
        <f t="shared" si="2"/>
        <v>[ROW:JUN_2022]</v>
      </c>
      <c r="C85" s="29">
        <f>IF(OR(Client_Info!$D$14="",Client_Info!$D$15=""),"",IF(EOMONTH(Client_Info!$D$14,77)&lt;=Client_Info!$D$15,EOMONTH(Client_Info!$D$14,77),""))</f>
        <v>44742</v>
      </c>
      <c r="D85" s="138"/>
      <c r="E85" s="138"/>
      <c r="F85" s="138"/>
      <c r="G85" s="143">
        <v>-4.84</v>
      </c>
      <c r="H85" s="143">
        <v>5.73</v>
      </c>
      <c r="I85" s="143">
        <v>2.0299999999999998</v>
      </c>
      <c r="J85" s="143">
        <v>-2</v>
      </c>
      <c r="K85" s="138"/>
      <c r="L85" s="138"/>
      <c r="M85" s="138"/>
      <c r="N85" s="138"/>
      <c r="O85" s="138"/>
      <c r="P85" s="138"/>
      <c r="Q85" s="138"/>
      <c r="R85" s="138"/>
      <c r="S85" s="138"/>
      <c r="T85" s="138"/>
      <c r="U85" s="138"/>
      <c r="V85" s="138"/>
      <c r="W85" s="138"/>
      <c r="X85" s="138"/>
      <c r="Y85" s="138"/>
      <c r="Z85" s="138"/>
      <c r="AA85" s="143">
        <v>-4.84</v>
      </c>
      <c r="AB85" s="143">
        <v>-2</v>
      </c>
      <c r="AC85" s="138"/>
      <c r="AD85" s="138"/>
      <c r="AE85" s="138"/>
      <c r="AF85" s="138"/>
      <c r="AG85" s="138"/>
      <c r="AH85" s="138"/>
      <c r="AI85" s="138"/>
      <c r="AJ85" s="138"/>
      <c r="AK85" s="138"/>
      <c r="AL85" s="138"/>
      <c r="AM85" s="138"/>
      <c r="AN85" s="138"/>
      <c r="AO85" s="138"/>
      <c r="AP85" s="138"/>
      <c r="AQ85" s="138"/>
      <c r="AR85" s="138"/>
      <c r="AS85" s="138"/>
      <c r="AT85" s="139"/>
      <c r="AU85" s="140"/>
      <c r="AV85" s="140"/>
      <c r="AW85" s="140"/>
      <c r="AX85" s="140"/>
      <c r="AY85" s="140"/>
      <c r="AZ85" s="140"/>
      <c r="BA85" s="140"/>
      <c r="BB85" s="140"/>
      <c r="BC85" s="140"/>
      <c r="BD85" s="140"/>
      <c r="BE85" s="140"/>
      <c r="BF85" s="140"/>
      <c r="BG85" s="140"/>
      <c r="BH85" s="140"/>
      <c r="BI85" s="140"/>
      <c r="BJ85" s="140"/>
      <c r="BK85" s="140"/>
      <c r="BL85" s="140"/>
      <c r="BM85" s="140"/>
      <c r="BN85" s="140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</row>
    <row r="86" spans="1:200" ht="15" customHeight="1" x14ac:dyDescent="0.2">
      <c r="A86" s="18"/>
      <c r="B86" s="18" t="str">
        <f t="shared" si="2"/>
        <v>[ROW:JUL_2022]</v>
      </c>
      <c r="C86" s="29">
        <f>IF(OR(Client_Info!$D$14="",Client_Info!$D$15=""),"",IF(EOMONTH(Client_Info!$D$14,78)&lt;=Client_Info!$D$15,EOMONTH(Client_Info!$D$14,78),""))</f>
        <v>44773</v>
      </c>
      <c r="D86" s="138"/>
      <c r="E86" s="138"/>
      <c r="F86" s="138"/>
      <c r="G86" s="143">
        <v>-9.3699999999999992</v>
      </c>
      <c r="H86" s="143">
        <v>7.34</v>
      </c>
      <c r="I86" s="143">
        <v>1.79</v>
      </c>
      <c r="J86" s="143">
        <v>-4</v>
      </c>
      <c r="K86" s="138"/>
      <c r="L86" s="138"/>
      <c r="M86" s="138"/>
      <c r="N86" s="138"/>
      <c r="O86" s="138"/>
      <c r="P86" s="138"/>
      <c r="Q86" s="138"/>
      <c r="R86" s="138"/>
      <c r="S86" s="138"/>
      <c r="T86" s="138"/>
      <c r="U86" s="138"/>
      <c r="V86" s="138"/>
      <c r="W86" s="138"/>
      <c r="X86" s="138"/>
      <c r="Y86" s="138"/>
      <c r="Z86" s="138"/>
      <c r="AA86" s="143">
        <v>-9.3699999999999992</v>
      </c>
      <c r="AB86" s="143">
        <v>-4</v>
      </c>
      <c r="AC86" s="138"/>
      <c r="AD86" s="138"/>
      <c r="AE86" s="138"/>
      <c r="AF86" s="138"/>
      <c r="AG86" s="138"/>
      <c r="AH86" s="138"/>
      <c r="AI86" s="138"/>
      <c r="AJ86" s="138"/>
      <c r="AK86" s="138"/>
      <c r="AL86" s="138"/>
      <c r="AM86" s="138"/>
      <c r="AN86" s="138"/>
      <c r="AO86" s="138"/>
      <c r="AP86" s="138"/>
      <c r="AQ86" s="138"/>
      <c r="AR86" s="138"/>
      <c r="AS86" s="138"/>
      <c r="AT86" s="139"/>
      <c r="AU86" s="140"/>
      <c r="AV86" s="140"/>
      <c r="AW86" s="140"/>
      <c r="AX86" s="140"/>
      <c r="AY86" s="140"/>
      <c r="AZ86" s="140"/>
      <c r="BA86" s="140"/>
      <c r="BB86" s="140"/>
      <c r="BC86" s="140"/>
      <c r="BD86" s="140"/>
      <c r="BE86" s="140"/>
      <c r="BF86" s="140"/>
      <c r="BG86" s="140"/>
      <c r="BH86" s="140"/>
      <c r="BI86" s="140"/>
      <c r="BJ86" s="140"/>
      <c r="BK86" s="140"/>
      <c r="BL86" s="140"/>
      <c r="BM86" s="140"/>
      <c r="BN86" s="140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</row>
    <row r="87" spans="1:200" ht="15" customHeight="1" x14ac:dyDescent="0.2">
      <c r="A87" s="18"/>
      <c r="B87" s="18" t="str">
        <f t="shared" si="2"/>
        <v>[ROW:AUG_2022]</v>
      </c>
      <c r="C87" s="29">
        <f>IF(OR(Client_Info!$D$14="",Client_Info!$D$15=""),"",IF(EOMONTH(Client_Info!$D$14,79)&lt;=Client_Info!$D$15,EOMONTH(Client_Info!$D$14,79),""))</f>
        <v>44804</v>
      </c>
      <c r="D87" s="138"/>
      <c r="E87" s="138"/>
      <c r="F87" s="138"/>
      <c r="G87" s="143">
        <v>-3.91</v>
      </c>
      <c r="H87" s="143">
        <v>6.62</v>
      </c>
      <c r="I87" s="143">
        <v>0.04</v>
      </c>
      <c r="J87" s="143">
        <v>-2.5</v>
      </c>
      <c r="K87" s="138"/>
      <c r="L87" s="138"/>
      <c r="M87" s="138"/>
      <c r="N87" s="138"/>
      <c r="O87" s="138"/>
      <c r="P87" s="138"/>
      <c r="Q87" s="138"/>
      <c r="R87" s="138"/>
      <c r="S87" s="138"/>
      <c r="T87" s="138"/>
      <c r="U87" s="138"/>
      <c r="V87" s="138"/>
      <c r="W87" s="138"/>
      <c r="X87" s="138"/>
      <c r="Y87" s="138"/>
      <c r="Z87" s="138"/>
      <c r="AA87" s="143">
        <v>-3.91</v>
      </c>
      <c r="AB87" s="143">
        <v>-2.5</v>
      </c>
      <c r="AC87" s="138"/>
      <c r="AD87" s="138"/>
      <c r="AE87" s="138"/>
      <c r="AF87" s="138"/>
      <c r="AG87" s="138"/>
      <c r="AH87" s="138"/>
      <c r="AI87" s="138"/>
      <c r="AJ87" s="138"/>
      <c r="AK87" s="138"/>
      <c r="AL87" s="138"/>
      <c r="AM87" s="138"/>
      <c r="AN87" s="138"/>
      <c r="AO87" s="138"/>
      <c r="AP87" s="138"/>
      <c r="AQ87" s="138"/>
      <c r="AR87" s="138"/>
      <c r="AS87" s="138"/>
      <c r="AT87" s="139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40"/>
      <c r="BH87" s="140"/>
      <c r="BI87" s="140"/>
      <c r="BJ87" s="140"/>
      <c r="BK87" s="140"/>
      <c r="BL87" s="140"/>
      <c r="BM87" s="140"/>
      <c r="BN87" s="140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</row>
    <row r="88" spans="1:200" ht="15" customHeight="1" x14ac:dyDescent="0.2">
      <c r="A88" s="18"/>
      <c r="B88" s="18" t="str">
        <f t="shared" si="2"/>
        <v>[ROW:SEP_2022]</v>
      </c>
      <c r="C88" s="29">
        <f>IF(OR(Client_Info!$D$14="",Client_Info!$D$15=""),"",IF(EOMONTH(Client_Info!$D$14,80)&lt;=Client_Info!$D$15,EOMONTH(Client_Info!$D$14,80),""))</f>
        <v>44834</v>
      </c>
      <c r="D88" s="138"/>
      <c r="E88" s="138"/>
      <c r="F88" s="138"/>
      <c r="G88" s="143">
        <v>6.86</v>
      </c>
      <c r="H88" s="143">
        <v>3.26</v>
      </c>
      <c r="I88" s="143">
        <v>-1.34</v>
      </c>
      <c r="J88" s="143">
        <v>3</v>
      </c>
      <c r="K88" s="138"/>
      <c r="L88" s="138"/>
      <c r="M88" s="138"/>
      <c r="N88" s="138"/>
      <c r="O88" s="138"/>
      <c r="P88" s="138"/>
      <c r="Q88" s="138"/>
      <c r="R88" s="138"/>
      <c r="S88" s="138"/>
      <c r="T88" s="138"/>
      <c r="U88" s="138"/>
      <c r="V88" s="138"/>
      <c r="W88" s="138"/>
      <c r="X88" s="138"/>
      <c r="Y88" s="138"/>
      <c r="Z88" s="138"/>
      <c r="AA88" s="143">
        <v>6.86</v>
      </c>
      <c r="AB88" s="143">
        <v>3</v>
      </c>
      <c r="AC88" s="138"/>
      <c r="AD88" s="138"/>
      <c r="AE88" s="138"/>
      <c r="AF88" s="138"/>
      <c r="AG88" s="138"/>
      <c r="AH88" s="138"/>
      <c r="AI88" s="138"/>
      <c r="AJ88" s="138"/>
      <c r="AK88" s="138"/>
      <c r="AL88" s="138"/>
      <c r="AM88" s="138"/>
      <c r="AN88" s="138"/>
      <c r="AO88" s="138"/>
      <c r="AP88" s="138"/>
      <c r="AQ88" s="138"/>
      <c r="AR88" s="138"/>
      <c r="AS88" s="138"/>
      <c r="AT88" s="139"/>
      <c r="AU88" s="140"/>
      <c r="AV88" s="140"/>
      <c r="AW88" s="140"/>
      <c r="AX88" s="140"/>
      <c r="AY88" s="140"/>
      <c r="AZ88" s="140"/>
      <c r="BA88" s="140"/>
      <c r="BB88" s="140"/>
      <c r="BC88" s="140"/>
      <c r="BD88" s="140"/>
      <c r="BE88" s="140"/>
      <c r="BF88" s="140"/>
      <c r="BG88" s="140"/>
      <c r="BH88" s="140"/>
      <c r="BI88" s="140"/>
      <c r="BJ88" s="140"/>
      <c r="BK88" s="140"/>
      <c r="BL88" s="140"/>
      <c r="BM88" s="140"/>
      <c r="BN88" s="140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</row>
    <row r="89" spans="1:200" ht="15" customHeight="1" x14ac:dyDescent="0.2">
      <c r="A89" s="18"/>
      <c r="B89" s="18" t="str">
        <f t="shared" si="2"/>
        <v>[ROW:OCT_2022]</v>
      </c>
      <c r="C89" s="29">
        <f>IF(OR(Client_Info!$D$14="",Client_Info!$D$15=""),"",IF(EOMONTH(Client_Info!$D$14,81)&lt;=Client_Info!$D$15,EOMONTH(Client_Info!$D$14,81),""))</f>
        <v>44865</v>
      </c>
      <c r="D89" s="138"/>
      <c r="E89" s="138"/>
      <c r="F89" s="138"/>
      <c r="G89" s="143">
        <v>2.76</v>
      </c>
      <c r="H89" s="143">
        <v>-1.81</v>
      </c>
      <c r="I89" s="143">
        <v>2.5499999999999998</v>
      </c>
      <c r="J89" s="143">
        <v>1.07</v>
      </c>
      <c r="K89" s="138"/>
      <c r="L89" s="138"/>
      <c r="M89" s="138"/>
      <c r="N89" s="138"/>
      <c r="O89" s="138"/>
      <c r="P89" s="138"/>
      <c r="Q89" s="138"/>
      <c r="R89" s="138"/>
      <c r="S89" s="138"/>
      <c r="T89" s="138"/>
      <c r="U89" s="138"/>
      <c r="V89" s="138"/>
      <c r="W89" s="138"/>
      <c r="X89" s="138"/>
      <c r="Y89" s="138"/>
      <c r="Z89" s="138"/>
      <c r="AA89" s="143">
        <v>2.76</v>
      </c>
      <c r="AB89" s="143">
        <v>1.07</v>
      </c>
      <c r="AC89" s="138"/>
      <c r="AD89" s="138"/>
      <c r="AE89" s="138"/>
      <c r="AF89" s="138"/>
      <c r="AG89" s="138"/>
      <c r="AH89" s="138"/>
      <c r="AI89" s="138"/>
      <c r="AJ89" s="138"/>
      <c r="AK89" s="138"/>
      <c r="AL89" s="138"/>
      <c r="AM89" s="138"/>
      <c r="AN89" s="138"/>
      <c r="AO89" s="138"/>
      <c r="AP89" s="138"/>
      <c r="AQ89" s="138"/>
      <c r="AR89" s="138"/>
      <c r="AS89" s="138"/>
      <c r="AT89" s="139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40"/>
      <c r="BH89" s="140"/>
      <c r="BI89" s="140"/>
      <c r="BJ89" s="140"/>
      <c r="BK89" s="140"/>
      <c r="BL89" s="140"/>
      <c r="BM89" s="140"/>
      <c r="BN89" s="140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</row>
    <row r="90" spans="1:200" ht="15" customHeight="1" x14ac:dyDescent="0.2">
      <c r="A90" s="18"/>
      <c r="B90" s="18" t="str">
        <f t="shared" si="2"/>
        <v>[ROW:NOV_2022]</v>
      </c>
      <c r="C90" s="29">
        <f>IF(OR(Client_Info!$D$14="",Client_Info!$D$15=""),"",IF(EOMONTH(Client_Info!$D$14,82)&lt;=Client_Info!$D$15,EOMONTH(Client_Info!$D$14,82),""))</f>
        <v>44895</v>
      </c>
      <c r="D90" s="138"/>
      <c r="E90" s="138"/>
      <c r="F90" s="138"/>
      <c r="G90" s="143">
        <v>1.89</v>
      </c>
      <c r="H90" s="143">
        <v>-1.1499999999999999</v>
      </c>
      <c r="I90" s="143">
        <v>0.12</v>
      </c>
      <c r="J90" s="143">
        <v>0.3</v>
      </c>
      <c r="K90" s="138"/>
      <c r="L90" s="138"/>
      <c r="M90" s="138"/>
      <c r="N90" s="138"/>
      <c r="O90" s="138"/>
      <c r="P90" s="138"/>
      <c r="Q90" s="138"/>
      <c r="R90" s="138"/>
      <c r="S90" s="138"/>
      <c r="T90" s="138"/>
      <c r="U90" s="138"/>
      <c r="V90" s="138"/>
      <c r="W90" s="138"/>
      <c r="X90" s="138"/>
      <c r="Y90" s="138"/>
      <c r="Z90" s="138"/>
      <c r="AA90" s="143">
        <v>1.89</v>
      </c>
      <c r="AB90" s="143">
        <v>0.3</v>
      </c>
      <c r="AC90" s="138"/>
      <c r="AD90" s="138"/>
      <c r="AE90" s="138"/>
      <c r="AF90" s="138"/>
      <c r="AG90" s="138"/>
      <c r="AH90" s="138"/>
      <c r="AI90" s="138"/>
      <c r="AJ90" s="138"/>
      <c r="AK90" s="138"/>
      <c r="AL90" s="138"/>
      <c r="AM90" s="138"/>
      <c r="AN90" s="138"/>
      <c r="AO90" s="138"/>
      <c r="AP90" s="138"/>
      <c r="AQ90" s="138"/>
      <c r="AR90" s="138"/>
      <c r="AS90" s="138"/>
      <c r="AT90" s="139"/>
      <c r="AU90" s="140"/>
      <c r="AV90" s="140"/>
      <c r="AW90" s="140"/>
      <c r="AX90" s="140"/>
      <c r="AY90" s="140"/>
      <c r="AZ90" s="140"/>
      <c r="BA90" s="140"/>
      <c r="BB90" s="140"/>
      <c r="BC90" s="140"/>
      <c r="BD90" s="140"/>
      <c r="BE90" s="140"/>
      <c r="BF90" s="140"/>
      <c r="BG90" s="140"/>
      <c r="BH90" s="140"/>
      <c r="BI90" s="140"/>
      <c r="BJ90" s="140"/>
      <c r="BK90" s="140"/>
      <c r="BL90" s="140"/>
      <c r="BM90" s="140"/>
      <c r="BN90" s="140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</row>
    <row r="91" spans="1:200" ht="15" customHeight="1" x14ac:dyDescent="0.2">
      <c r="A91" s="18"/>
      <c r="B91" s="18" t="str">
        <f t="shared" si="2"/>
        <v>[ROW:DEC_2022]</v>
      </c>
      <c r="C91" s="29">
        <f>IF(OR(Client_Info!$D$14="",Client_Info!$D$15=""),"",IF(EOMONTH(Client_Info!$D$14,83)&lt;=Client_Info!$D$15,EOMONTH(Client_Info!$D$14,83),""))</f>
        <v>44926</v>
      </c>
      <c r="D91" s="138"/>
      <c r="E91" s="138"/>
      <c r="F91" s="138"/>
      <c r="G91" s="143">
        <v>1.97</v>
      </c>
      <c r="H91" s="143">
        <v>0.32</v>
      </c>
      <c r="I91" s="143">
        <v>-0.18</v>
      </c>
      <c r="J91" s="143">
        <v>-1.64</v>
      </c>
      <c r="K91" s="138"/>
      <c r="L91" s="138"/>
      <c r="M91" s="138"/>
      <c r="N91" s="138"/>
      <c r="O91" s="138"/>
      <c r="P91" s="138"/>
      <c r="Q91" s="138"/>
      <c r="R91" s="138"/>
      <c r="S91" s="138"/>
      <c r="T91" s="138"/>
      <c r="U91" s="138"/>
      <c r="V91" s="138"/>
      <c r="W91" s="138"/>
      <c r="X91" s="138"/>
      <c r="Y91" s="138"/>
      <c r="Z91" s="138"/>
      <c r="AA91" s="143">
        <v>1.97</v>
      </c>
      <c r="AB91" s="143">
        <v>-1.64</v>
      </c>
      <c r="AC91" s="138"/>
      <c r="AD91" s="138"/>
      <c r="AE91" s="138"/>
      <c r="AF91" s="138"/>
      <c r="AG91" s="138"/>
      <c r="AH91" s="138"/>
      <c r="AI91" s="138"/>
      <c r="AJ91" s="138"/>
      <c r="AK91" s="138"/>
      <c r="AL91" s="138"/>
      <c r="AM91" s="138"/>
      <c r="AN91" s="138"/>
      <c r="AO91" s="138"/>
      <c r="AP91" s="138"/>
      <c r="AQ91" s="138"/>
      <c r="AR91" s="138"/>
      <c r="AS91" s="138"/>
      <c r="AT91" s="139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40"/>
      <c r="BH91" s="140"/>
      <c r="BI91" s="140"/>
      <c r="BJ91" s="140"/>
      <c r="BK91" s="140"/>
      <c r="BL91" s="140"/>
      <c r="BM91" s="140"/>
      <c r="BN91" s="140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</row>
    <row r="92" spans="1:200" ht="15" customHeight="1" x14ac:dyDescent="0.2">
      <c r="A92" s="18"/>
      <c r="B92" s="18" t="str">
        <f t="shared" si="2"/>
        <v>[ROW:JAN_2023]</v>
      </c>
      <c r="C92" s="29">
        <f>IF(OR(Client_Info!$D$14="",Client_Info!$D$15=""),"",IF(EOMONTH(Client_Info!$D$14,84)&lt;=Client_Info!$D$15,EOMONTH(Client_Info!$D$14,84),""))</f>
        <v>44957</v>
      </c>
      <c r="D92" s="138"/>
      <c r="E92" s="138"/>
      <c r="F92" s="138"/>
      <c r="G92" s="143">
        <v>-3.12</v>
      </c>
      <c r="H92" s="143">
        <v>-0.85</v>
      </c>
      <c r="I92" s="143">
        <v>0.85</v>
      </c>
      <c r="J92" s="143">
        <v>-0.08</v>
      </c>
      <c r="K92" s="138"/>
      <c r="L92" s="138"/>
      <c r="M92" s="138"/>
      <c r="N92" s="138"/>
      <c r="O92" s="138"/>
      <c r="P92" s="138"/>
      <c r="Q92" s="138"/>
      <c r="R92" s="138"/>
      <c r="S92" s="138"/>
      <c r="T92" s="138"/>
      <c r="U92" s="138"/>
      <c r="V92" s="138"/>
      <c r="W92" s="138"/>
      <c r="X92" s="138"/>
      <c r="Y92" s="138"/>
      <c r="Z92" s="138"/>
      <c r="AA92" s="143">
        <v>-3.12</v>
      </c>
      <c r="AB92" s="143">
        <v>-0.08</v>
      </c>
      <c r="AC92" s="138"/>
      <c r="AD92" s="138"/>
      <c r="AE92" s="138"/>
      <c r="AF92" s="138"/>
      <c r="AG92" s="138"/>
      <c r="AH92" s="138"/>
      <c r="AI92" s="138"/>
      <c r="AJ92" s="138"/>
      <c r="AK92" s="138"/>
      <c r="AL92" s="138"/>
      <c r="AM92" s="138"/>
      <c r="AN92" s="138"/>
      <c r="AO92" s="138"/>
      <c r="AP92" s="138"/>
      <c r="AQ92" s="138"/>
      <c r="AR92" s="138"/>
      <c r="AS92" s="138"/>
      <c r="AT92" s="139"/>
      <c r="AU92" s="140"/>
      <c r="AV92" s="140"/>
      <c r="AW92" s="140"/>
      <c r="AX92" s="140"/>
      <c r="AY92" s="140"/>
      <c r="AZ92" s="140"/>
      <c r="BA92" s="140"/>
      <c r="BB92" s="140"/>
      <c r="BC92" s="140"/>
      <c r="BD92" s="140"/>
      <c r="BE92" s="140"/>
      <c r="BF92" s="140"/>
      <c r="BG92" s="140"/>
      <c r="BH92" s="140"/>
      <c r="BI92" s="140"/>
      <c r="BJ92" s="140"/>
      <c r="BK92" s="140"/>
      <c r="BL92" s="140"/>
      <c r="BM92" s="140"/>
      <c r="BN92" s="140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</row>
    <row r="93" spans="1:200" ht="15" customHeight="1" x14ac:dyDescent="0.2">
      <c r="A93" s="18"/>
      <c r="B93" s="18" t="str">
        <f t="shared" si="2"/>
        <v>[ROW:FEB_2023]</v>
      </c>
      <c r="C93" s="29">
        <f>IF(OR(Client_Info!$D$14="",Client_Info!$D$15=""),"",IF(EOMONTH(Client_Info!$D$14,85)&lt;=Client_Info!$D$15,EOMONTH(Client_Info!$D$14,85),""))</f>
        <v>44985</v>
      </c>
      <c r="D93" s="138"/>
      <c r="E93" s="138"/>
      <c r="F93" s="138"/>
      <c r="G93" s="143">
        <v>-1.43</v>
      </c>
      <c r="H93" s="143">
        <v>1.29</v>
      </c>
      <c r="I93" s="143">
        <v>1.6</v>
      </c>
      <c r="J93" s="143">
        <v>-0.77</v>
      </c>
      <c r="K93" s="138"/>
      <c r="L93" s="138"/>
      <c r="M93" s="138"/>
      <c r="N93" s="138"/>
      <c r="O93" s="138"/>
      <c r="P93" s="138"/>
      <c r="Q93" s="138"/>
      <c r="R93" s="138"/>
      <c r="S93" s="138"/>
      <c r="T93" s="138"/>
      <c r="U93" s="138"/>
      <c r="V93" s="138"/>
      <c r="W93" s="138"/>
      <c r="X93" s="138"/>
      <c r="Y93" s="138"/>
      <c r="Z93" s="138"/>
      <c r="AA93" s="143">
        <v>-1.43</v>
      </c>
      <c r="AB93" s="143">
        <v>-0.77</v>
      </c>
      <c r="AC93" s="138"/>
      <c r="AD93" s="138"/>
      <c r="AE93" s="138"/>
      <c r="AF93" s="138"/>
      <c r="AG93" s="138"/>
      <c r="AH93" s="138"/>
      <c r="AI93" s="138"/>
      <c r="AJ93" s="138"/>
      <c r="AK93" s="138"/>
      <c r="AL93" s="138"/>
      <c r="AM93" s="138"/>
      <c r="AN93" s="138"/>
      <c r="AO93" s="138"/>
      <c r="AP93" s="138"/>
      <c r="AQ93" s="138"/>
      <c r="AR93" s="138"/>
      <c r="AS93" s="138"/>
      <c r="AT93" s="139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40"/>
      <c r="BH93" s="140"/>
      <c r="BI93" s="140"/>
      <c r="BJ93" s="140"/>
      <c r="BK93" s="140"/>
      <c r="BL93" s="140"/>
      <c r="BM93" s="140"/>
      <c r="BN93" s="140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</row>
    <row r="94" spans="1:200" ht="15" customHeight="1" x14ac:dyDescent="0.2">
      <c r="A94" s="18"/>
      <c r="B94" s="18" t="str">
        <f t="shared" si="2"/>
        <v>[ROW:MAR_2023]</v>
      </c>
      <c r="C94" s="29">
        <f>IF(OR(Client_Info!$D$14="",Client_Info!$D$15=""),"",IF(EOMONTH(Client_Info!$D$14,86)&lt;=Client_Info!$D$15,EOMONTH(Client_Info!$D$14,86),""))</f>
        <v>45016</v>
      </c>
      <c r="D94" s="138"/>
      <c r="E94" s="138"/>
      <c r="F94" s="138"/>
      <c r="G94" s="143">
        <v>4.26</v>
      </c>
      <c r="H94" s="143">
        <v>0.83</v>
      </c>
      <c r="I94" s="143">
        <v>0.47</v>
      </c>
      <c r="J94" s="143">
        <v>2.72</v>
      </c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8"/>
      <c r="AA94" s="143">
        <v>4.26</v>
      </c>
      <c r="AB94" s="143">
        <v>2.72</v>
      </c>
      <c r="AC94" s="138"/>
      <c r="AD94" s="138"/>
      <c r="AE94" s="138"/>
      <c r="AF94" s="138"/>
      <c r="AG94" s="138"/>
      <c r="AH94" s="138"/>
      <c r="AI94" s="138"/>
      <c r="AJ94" s="138"/>
      <c r="AK94" s="138"/>
      <c r="AL94" s="138"/>
      <c r="AM94" s="138"/>
      <c r="AN94" s="138"/>
      <c r="AO94" s="138"/>
      <c r="AP94" s="138"/>
      <c r="AQ94" s="138"/>
      <c r="AR94" s="138"/>
      <c r="AS94" s="138"/>
      <c r="AT94" s="139"/>
      <c r="AU94" s="140"/>
      <c r="AV94" s="140"/>
      <c r="AW94" s="140"/>
      <c r="AX94" s="140"/>
      <c r="AY94" s="140"/>
      <c r="AZ94" s="140"/>
      <c r="BA94" s="140"/>
      <c r="BB94" s="140"/>
      <c r="BC94" s="140"/>
      <c r="BD94" s="140"/>
      <c r="BE94" s="140"/>
      <c r="BF94" s="140"/>
      <c r="BG94" s="140"/>
      <c r="BH94" s="140"/>
      <c r="BI94" s="140"/>
      <c r="BJ94" s="140"/>
      <c r="BK94" s="140"/>
      <c r="BL94" s="140"/>
      <c r="BM94" s="140"/>
      <c r="BN94" s="140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</row>
    <row r="95" spans="1:200" ht="15" customHeight="1" x14ac:dyDescent="0.2">
      <c r="A95" s="18"/>
      <c r="B95" s="18" t="str">
        <f t="shared" si="2"/>
        <v>[ROW:APR_2023]</v>
      </c>
      <c r="C95" s="29">
        <f>IF(OR(Client_Info!$D$14="",Client_Info!$D$15=""),"",IF(EOMONTH(Client_Info!$D$14,87)&lt;=Client_Info!$D$15,EOMONTH(Client_Info!$D$14,87),""))</f>
        <v>45046</v>
      </c>
      <c r="D95" s="138"/>
      <c r="E95" s="138"/>
      <c r="F95" s="138"/>
      <c r="G95" s="143">
        <v>1.61</v>
      </c>
      <c r="H95" s="143">
        <v>0.62</v>
      </c>
      <c r="I95" s="143">
        <v>2.13</v>
      </c>
      <c r="J95" s="143">
        <v>0.01</v>
      </c>
      <c r="K95" s="138"/>
      <c r="L95" s="138"/>
      <c r="M95" s="138"/>
      <c r="N95" s="138"/>
      <c r="O95" s="138"/>
      <c r="P95" s="138"/>
      <c r="Q95" s="138"/>
      <c r="R95" s="138"/>
      <c r="S95" s="138"/>
      <c r="T95" s="138"/>
      <c r="U95" s="138"/>
      <c r="V95" s="138"/>
      <c r="W95" s="138"/>
      <c r="X95" s="138"/>
      <c r="Y95" s="138"/>
      <c r="Z95" s="138"/>
      <c r="AA95" s="143">
        <v>1.61</v>
      </c>
      <c r="AB95" s="143">
        <v>0.01</v>
      </c>
      <c r="AC95" s="138"/>
      <c r="AD95" s="138"/>
      <c r="AE95" s="138"/>
      <c r="AF95" s="138"/>
      <c r="AG95" s="138"/>
      <c r="AH95" s="138"/>
      <c r="AI95" s="138"/>
      <c r="AJ95" s="138"/>
      <c r="AK95" s="138"/>
      <c r="AL95" s="138"/>
      <c r="AM95" s="138"/>
      <c r="AN95" s="138"/>
      <c r="AO95" s="138"/>
      <c r="AP95" s="138"/>
      <c r="AQ95" s="138"/>
      <c r="AR95" s="138"/>
      <c r="AS95" s="138"/>
      <c r="AT95" s="139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40"/>
      <c r="BH95" s="140"/>
      <c r="BI95" s="140"/>
      <c r="BJ95" s="140"/>
      <c r="BK95" s="140"/>
      <c r="BL95" s="140"/>
      <c r="BM95" s="140"/>
      <c r="BN95" s="140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</row>
    <row r="96" spans="1:200" ht="15" customHeight="1" x14ac:dyDescent="0.2">
      <c r="A96" s="18"/>
      <c r="B96" s="18" t="str">
        <f t="shared" si="2"/>
        <v>[ROW:MAY_2023]</v>
      </c>
      <c r="C96" s="29">
        <f>IF(OR(Client_Info!$D$14="",Client_Info!$D$15=""),"",IF(EOMONTH(Client_Info!$D$14,88)&lt;=Client_Info!$D$15,EOMONTH(Client_Info!$D$14,88),""))</f>
        <v>45077</v>
      </c>
      <c r="D96" s="138"/>
      <c r="E96" s="138"/>
      <c r="F96" s="138"/>
      <c r="G96" s="143">
        <v>-0.48</v>
      </c>
      <c r="H96" s="143">
        <v>3.14</v>
      </c>
      <c r="I96" s="143">
        <v>0.36</v>
      </c>
      <c r="J96" s="143">
        <v>0.35</v>
      </c>
      <c r="K96" s="138"/>
      <c r="L96" s="138"/>
      <c r="M96" s="138"/>
      <c r="N96" s="138"/>
      <c r="O96" s="138"/>
      <c r="P96" s="138"/>
      <c r="Q96" s="138"/>
      <c r="R96" s="138"/>
      <c r="S96" s="138"/>
      <c r="T96" s="138"/>
      <c r="U96" s="138"/>
      <c r="V96" s="138"/>
      <c r="W96" s="138"/>
      <c r="X96" s="138"/>
      <c r="Y96" s="138"/>
      <c r="Z96" s="138"/>
      <c r="AA96" s="143">
        <v>-0.48</v>
      </c>
      <c r="AB96" s="143">
        <v>0.35</v>
      </c>
      <c r="AC96" s="138"/>
      <c r="AD96" s="138"/>
      <c r="AE96" s="138"/>
      <c r="AF96" s="138"/>
      <c r="AG96" s="138"/>
      <c r="AH96" s="138"/>
      <c r="AI96" s="138"/>
      <c r="AJ96" s="138"/>
      <c r="AK96" s="138"/>
      <c r="AL96" s="138"/>
      <c r="AM96" s="138"/>
      <c r="AN96" s="138"/>
      <c r="AO96" s="138"/>
      <c r="AP96" s="138"/>
      <c r="AQ96" s="138"/>
      <c r="AR96" s="138"/>
      <c r="AS96" s="138"/>
      <c r="AT96" s="139"/>
      <c r="AU96" s="140"/>
      <c r="AV96" s="140"/>
      <c r="AW96" s="140"/>
      <c r="AX96" s="140"/>
      <c r="AY96" s="140"/>
      <c r="AZ96" s="140"/>
      <c r="BA96" s="140"/>
      <c r="BB96" s="140"/>
      <c r="BC96" s="140"/>
      <c r="BD96" s="140"/>
      <c r="BE96" s="140"/>
      <c r="BF96" s="140"/>
      <c r="BG96" s="140"/>
      <c r="BH96" s="140"/>
      <c r="BI96" s="140"/>
      <c r="BJ96" s="140"/>
      <c r="BK96" s="140"/>
      <c r="BL96" s="140"/>
      <c r="BM96" s="140"/>
      <c r="BN96" s="140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</row>
    <row r="97" spans="1:200" ht="15" customHeight="1" x14ac:dyDescent="0.2">
      <c r="A97" s="18"/>
      <c r="B97" s="18" t="str">
        <f t="shared" si="2"/>
        <v>[ROW:JUN_2023]</v>
      </c>
      <c r="C97" s="29">
        <f>IF(OR(Client_Info!$D$14="",Client_Info!$D$15=""),"",IF(EOMONTH(Client_Info!$D$14,89)&lt;=Client_Info!$D$15,EOMONTH(Client_Info!$D$14,89),""))</f>
        <v>45107</v>
      </c>
      <c r="D97" s="138"/>
      <c r="E97" s="138"/>
      <c r="F97" s="138"/>
      <c r="G97" s="143">
        <v>1.89</v>
      </c>
      <c r="H97" s="143">
        <v>2.74</v>
      </c>
      <c r="I97" s="143">
        <v>0.25</v>
      </c>
      <c r="J97" s="143">
        <v>0.85</v>
      </c>
      <c r="K97" s="138"/>
      <c r="L97" s="138"/>
      <c r="M97" s="138"/>
      <c r="N97" s="138"/>
      <c r="O97" s="138"/>
      <c r="P97" s="138"/>
      <c r="Q97" s="138"/>
      <c r="R97" s="138"/>
      <c r="S97" s="138"/>
      <c r="T97" s="138"/>
      <c r="U97" s="138"/>
      <c r="V97" s="138"/>
      <c r="W97" s="138"/>
      <c r="X97" s="138"/>
      <c r="Y97" s="138"/>
      <c r="Z97" s="138"/>
      <c r="AA97" s="143">
        <v>1.89</v>
      </c>
      <c r="AB97" s="143">
        <v>0.85</v>
      </c>
      <c r="AC97" s="138"/>
      <c r="AD97" s="138"/>
      <c r="AE97" s="138"/>
      <c r="AF97" s="138"/>
      <c r="AG97" s="138"/>
      <c r="AH97" s="138"/>
      <c r="AI97" s="138"/>
      <c r="AJ97" s="138"/>
      <c r="AK97" s="138"/>
      <c r="AL97" s="138"/>
      <c r="AM97" s="138"/>
      <c r="AN97" s="138"/>
      <c r="AO97" s="138"/>
      <c r="AP97" s="138"/>
      <c r="AQ97" s="138"/>
      <c r="AR97" s="138"/>
      <c r="AS97" s="138"/>
      <c r="AT97" s="139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40"/>
      <c r="BH97" s="140"/>
      <c r="BI97" s="140"/>
      <c r="BJ97" s="140"/>
      <c r="BK97" s="140"/>
      <c r="BL97" s="140"/>
      <c r="BM97" s="140"/>
      <c r="BN97" s="140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</row>
    <row r="98" spans="1:200" ht="15" customHeight="1" x14ac:dyDescent="0.2">
      <c r="A98" s="18"/>
      <c r="B98" s="18" t="str">
        <f t="shared" si="2"/>
        <v>[ROW:JUL_2023]</v>
      </c>
      <c r="C98" s="29">
        <f>IF(OR(Client_Info!$D$14="",Client_Info!$D$15=""),"",IF(EOMONTH(Client_Info!$D$14,90)&lt;=Client_Info!$D$15,EOMONTH(Client_Info!$D$14,90),""))</f>
        <v>45138</v>
      </c>
      <c r="D98" s="138"/>
      <c r="E98" s="138"/>
      <c r="F98" s="138"/>
      <c r="G98" s="143">
        <v>0.97</v>
      </c>
      <c r="H98" s="143">
        <v>2.0299999999999998</v>
      </c>
      <c r="I98" s="143">
        <v>1.74</v>
      </c>
      <c r="J98" s="143">
        <v>0.26</v>
      </c>
      <c r="K98" s="138"/>
      <c r="L98" s="138"/>
      <c r="M98" s="138"/>
      <c r="N98" s="138"/>
      <c r="O98" s="138"/>
      <c r="P98" s="138"/>
      <c r="Q98" s="138"/>
      <c r="R98" s="138"/>
      <c r="S98" s="138"/>
      <c r="T98" s="138"/>
      <c r="U98" s="138"/>
      <c r="V98" s="138"/>
      <c r="W98" s="138"/>
      <c r="X98" s="138"/>
      <c r="Y98" s="138"/>
      <c r="Z98" s="138"/>
      <c r="AA98" s="143">
        <v>0.97</v>
      </c>
      <c r="AB98" s="143">
        <v>0.26</v>
      </c>
      <c r="AC98" s="138"/>
      <c r="AD98" s="138"/>
      <c r="AE98" s="138"/>
      <c r="AF98" s="138"/>
      <c r="AG98" s="138"/>
      <c r="AH98" s="138"/>
      <c r="AI98" s="138"/>
      <c r="AJ98" s="138"/>
      <c r="AK98" s="138"/>
      <c r="AL98" s="138"/>
      <c r="AM98" s="138"/>
      <c r="AN98" s="138"/>
      <c r="AO98" s="138"/>
      <c r="AP98" s="138"/>
      <c r="AQ98" s="138"/>
      <c r="AR98" s="138"/>
      <c r="AS98" s="138"/>
      <c r="AT98" s="139"/>
      <c r="AU98" s="140"/>
      <c r="AV98" s="140"/>
      <c r="AW98" s="140"/>
      <c r="AX98" s="140"/>
      <c r="AY98" s="140"/>
      <c r="AZ98" s="140"/>
      <c r="BA98" s="140"/>
      <c r="BB98" s="140"/>
      <c r="BC98" s="140"/>
      <c r="BD98" s="140"/>
      <c r="BE98" s="140"/>
      <c r="BF98" s="140"/>
      <c r="BG98" s="140"/>
      <c r="BH98" s="140"/>
      <c r="BI98" s="140"/>
      <c r="BJ98" s="140"/>
      <c r="BK98" s="140"/>
      <c r="BL98" s="140"/>
      <c r="BM98" s="140"/>
      <c r="BN98" s="140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</row>
    <row r="99" spans="1:200" ht="15" customHeight="1" x14ac:dyDescent="0.2">
      <c r="A99" s="18"/>
      <c r="B99" s="18" t="str">
        <f t="shared" si="2"/>
        <v>[ROW:AUG_2023]</v>
      </c>
      <c r="C99" s="29">
        <f>IF(OR(Client_Info!$D$14="",Client_Info!$D$15=""),"",IF(EOMONTH(Client_Info!$D$14,91)&lt;=Client_Info!$D$15,EOMONTH(Client_Info!$D$14,91),""))</f>
        <v>45169</v>
      </c>
      <c r="D99" s="138"/>
      <c r="E99" s="138"/>
      <c r="F99" s="138"/>
      <c r="G99" s="143">
        <v>3.1</v>
      </c>
      <c r="H99" s="143">
        <v>2.5499999999999998</v>
      </c>
      <c r="I99" s="143">
        <v>1.55</v>
      </c>
      <c r="J99" s="143">
        <v>2.17</v>
      </c>
      <c r="K99" s="138"/>
      <c r="L99" s="138"/>
      <c r="M99" s="138"/>
      <c r="N99" s="138"/>
      <c r="O99" s="138"/>
      <c r="P99" s="138"/>
      <c r="Q99" s="138"/>
      <c r="R99" s="138"/>
      <c r="S99" s="138"/>
      <c r="T99" s="138"/>
      <c r="U99" s="138"/>
      <c r="V99" s="138"/>
      <c r="W99" s="138"/>
      <c r="X99" s="138"/>
      <c r="Y99" s="138"/>
      <c r="Z99" s="138"/>
      <c r="AA99" s="143">
        <v>3.1</v>
      </c>
      <c r="AB99" s="143">
        <v>2.17</v>
      </c>
      <c r="AC99" s="138"/>
      <c r="AD99" s="138"/>
      <c r="AE99" s="138"/>
      <c r="AF99" s="138"/>
      <c r="AG99" s="138"/>
      <c r="AH99" s="138"/>
      <c r="AI99" s="138"/>
      <c r="AJ99" s="138"/>
      <c r="AK99" s="138"/>
      <c r="AL99" s="138"/>
      <c r="AM99" s="138"/>
      <c r="AN99" s="138"/>
      <c r="AO99" s="138"/>
      <c r="AP99" s="138"/>
      <c r="AQ99" s="138"/>
      <c r="AR99" s="138"/>
      <c r="AS99" s="138"/>
      <c r="AT99" s="139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40"/>
      <c r="BH99" s="140"/>
      <c r="BI99" s="140"/>
      <c r="BJ99" s="140"/>
      <c r="BK99" s="140"/>
      <c r="BL99" s="140"/>
      <c r="BM99" s="140"/>
      <c r="BN99" s="140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</row>
    <row r="100" spans="1:200" ht="15" customHeight="1" x14ac:dyDescent="0.2">
      <c r="A100" s="18"/>
      <c r="B100" s="18" t="str">
        <f t="shared" si="2"/>
        <v>[ROW:SEP_2023]</v>
      </c>
      <c r="C100" s="29">
        <f>IF(OR(Client_Info!$D$14="",Client_Info!$D$15=""),"",IF(EOMONTH(Client_Info!$D$14,92)&lt;=Client_Info!$D$15,EOMONTH(Client_Info!$D$14,92),""))</f>
        <v>45199</v>
      </c>
      <c r="D100" s="138"/>
      <c r="E100" s="138"/>
      <c r="F100" s="138"/>
      <c r="G100" s="143">
        <v>-1.48</v>
      </c>
      <c r="H100" s="143">
        <v>0.24</v>
      </c>
      <c r="I100" s="143">
        <v>0.77</v>
      </c>
      <c r="J100" s="143">
        <v>-0.51</v>
      </c>
      <c r="K100" s="138"/>
      <c r="L100" s="138"/>
      <c r="M100" s="138"/>
      <c r="N100" s="138"/>
      <c r="O100" s="138"/>
      <c r="P100" s="138"/>
      <c r="Q100" s="138"/>
      <c r="R100" s="138"/>
      <c r="S100" s="138"/>
      <c r="T100" s="138"/>
      <c r="U100" s="138"/>
      <c r="V100" s="138"/>
      <c r="W100" s="138"/>
      <c r="X100" s="138"/>
      <c r="Y100" s="138"/>
      <c r="Z100" s="138"/>
      <c r="AA100" s="143">
        <v>-1.48</v>
      </c>
      <c r="AB100" s="143">
        <v>-0.51</v>
      </c>
      <c r="AC100" s="138"/>
      <c r="AD100" s="138"/>
      <c r="AE100" s="138"/>
      <c r="AF100" s="138"/>
      <c r="AG100" s="138"/>
      <c r="AH100" s="138"/>
      <c r="AI100" s="138"/>
      <c r="AJ100" s="138"/>
      <c r="AK100" s="138"/>
      <c r="AL100" s="138"/>
      <c r="AM100" s="138"/>
      <c r="AN100" s="138"/>
      <c r="AO100" s="138"/>
      <c r="AP100" s="138"/>
      <c r="AQ100" s="138"/>
      <c r="AR100" s="138"/>
      <c r="AS100" s="138"/>
      <c r="AT100" s="139"/>
      <c r="AU100" s="140"/>
      <c r="AV100" s="140"/>
      <c r="AW100" s="140"/>
      <c r="AX100" s="140"/>
      <c r="AY100" s="140"/>
      <c r="AZ100" s="140"/>
      <c r="BA100" s="140"/>
      <c r="BB100" s="140"/>
      <c r="BC100" s="140"/>
      <c r="BD100" s="140"/>
      <c r="BE100" s="140"/>
      <c r="BF100" s="140"/>
      <c r="BG100" s="140"/>
      <c r="BH100" s="140"/>
      <c r="BI100" s="140"/>
      <c r="BJ100" s="140"/>
      <c r="BK100" s="140"/>
      <c r="BL100" s="140"/>
      <c r="BM100" s="140"/>
      <c r="BN100" s="140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</row>
    <row r="101" spans="1:200" ht="15" customHeight="1" x14ac:dyDescent="0.2">
      <c r="A101" s="18"/>
      <c r="B101" s="18" t="str">
        <f t="shared" si="2"/>
        <v>[ROW:OCT_2023]</v>
      </c>
      <c r="C101" s="29">
        <f>IF(OR(Client_Info!$D$14="",Client_Info!$D$15=""),"",IF(EOMONTH(Client_Info!$D$14,93)&lt;=Client_Info!$D$15,EOMONTH(Client_Info!$D$14,93),""))</f>
        <v>45230</v>
      </c>
      <c r="D101" s="138"/>
      <c r="E101" s="138"/>
      <c r="F101" s="138"/>
      <c r="G101" s="143">
        <v>-0.45</v>
      </c>
      <c r="H101" s="143">
        <v>2.2000000000000002</v>
      </c>
      <c r="I101" s="143">
        <v>1.42</v>
      </c>
      <c r="J101" s="143">
        <v>0.43</v>
      </c>
      <c r="K101" s="138"/>
      <c r="L101" s="138"/>
      <c r="M101" s="138"/>
      <c r="N101" s="138"/>
      <c r="O101" s="138"/>
      <c r="P101" s="138"/>
      <c r="Q101" s="138"/>
      <c r="R101" s="138"/>
      <c r="S101" s="138"/>
      <c r="T101" s="138"/>
      <c r="U101" s="138"/>
      <c r="V101" s="138"/>
      <c r="W101" s="138"/>
      <c r="X101" s="138"/>
      <c r="Y101" s="138"/>
      <c r="Z101" s="138"/>
      <c r="AA101" s="143">
        <v>-0.45</v>
      </c>
      <c r="AB101" s="143">
        <v>0.43</v>
      </c>
      <c r="AC101" s="138"/>
      <c r="AD101" s="138"/>
      <c r="AE101" s="138"/>
      <c r="AF101" s="138"/>
      <c r="AG101" s="138"/>
      <c r="AH101" s="138"/>
      <c r="AI101" s="138"/>
      <c r="AJ101" s="138"/>
      <c r="AK101" s="138"/>
      <c r="AL101" s="138"/>
      <c r="AM101" s="138"/>
      <c r="AN101" s="138"/>
      <c r="AO101" s="138"/>
      <c r="AP101" s="138"/>
      <c r="AQ101" s="138"/>
      <c r="AR101" s="138"/>
      <c r="AS101" s="138"/>
      <c r="AT101" s="139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40"/>
      <c r="BH101" s="140"/>
      <c r="BI101" s="140"/>
      <c r="BJ101" s="140"/>
      <c r="BK101" s="140"/>
      <c r="BL101" s="140"/>
      <c r="BM101" s="140"/>
      <c r="BN101" s="140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</row>
    <row r="102" spans="1:200" ht="15" customHeight="1" x14ac:dyDescent="0.2">
      <c r="A102" s="18"/>
      <c r="B102" s="18" t="str">
        <f t="shared" si="2"/>
        <v>[ROW:NOV_2023]</v>
      </c>
      <c r="C102" s="29">
        <f>IF(OR(Client_Info!$D$14="",Client_Info!$D$15=""),"",IF(EOMONTH(Client_Info!$D$14,94)&lt;=Client_Info!$D$15,EOMONTH(Client_Info!$D$14,94),""))</f>
        <v>45260</v>
      </c>
      <c r="D102" s="138"/>
      <c r="E102" s="138"/>
      <c r="F102" s="138"/>
      <c r="G102" s="143">
        <v>0.8</v>
      </c>
      <c r="H102" s="143">
        <v>3.1</v>
      </c>
      <c r="I102" s="143">
        <v>-0.34</v>
      </c>
      <c r="J102" s="143">
        <v>-0.65</v>
      </c>
      <c r="K102" s="138"/>
      <c r="L102" s="138"/>
      <c r="M102" s="138"/>
      <c r="N102" s="138"/>
      <c r="O102" s="138"/>
      <c r="P102" s="138"/>
      <c r="Q102" s="138"/>
      <c r="R102" s="138"/>
      <c r="S102" s="138"/>
      <c r="T102" s="138"/>
      <c r="U102" s="138"/>
      <c r="V102" s="138"/>
      <c r="W102" s="138"/>
      <c r="X102" s="138"/>
      <c r="Y102" s="138"/>
      <c r="Z102" s="138"/>
      <c r="AA102" s="143">
        <v>0.8</v>
      </c>
      <c r="AB102" s="143">
        <v>-0.65</v>
      </c>
      <c r="AC102" s="138"/>
      <c r="AD102" s="138"/>
      <c r="AE102" s="138"/>
      <c r="AF102" s="138"/>
      <c r="AG102" s="138"/>
      <c r="AH102" s="138"/>
      <c r="AI102" s="138"/>
      <c r="AJ102" s="138"/>
      <c r="AK102" s="138"/>
      <c r="AL102" s="138"/>
      <c r="AM102" s="138"/>
      <c r="AN102" s="138"/>
      <c r="AO102" s="138"/>
      <c r="AP102" s="138"/>
      <c r="AQ102" s="138"/>
      <c r="AR102" s="138"/>
      <c r="AS102" s="138"/>
      <c r="AT102" s="139"/>
      <c r="AU102" s="140"/>
      <c r="AV102" s="140"/>
      <c r="AW102" s="140"/>
      <c r="AX102" s="140"/>
      <c r="AY102" s="140"/>
      <c r="AZ102" s="140"/>
      <c r="BA102" s="140"/>
      <c r="BB102" s="140"/>
      <c r="BC102" s="140"/>
      <c r="BD102" s="140"/>
      <c r="BE102" s="140"/>
      <c r="BF102" s="140"/>
      <c r="BG102" s="140"/>
      <c r="BH102" s="140"/>
      <c r="BI102" s="140"/>
      <c r="BJ102" s="140"/>
      <c r="BK102" s="140"/>
      <c r="BL102" s="140"/>
      <c r="BM102" s="140"/>
      <c r="BN102" s="140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</row>
    <row r="103" spans="1:200" ht="15" customHeight="1" x14ac:dyDescent="0.2">
      <c r="A103" s="18"/>
      <c r="B103" s="18" t="str">
        <f t="shared" si="2"/>
        <v>[ROW:DEC_2023]</v>
      </c>
      <c r="C103" s="29">
        <f>IF(OR(Client_Info!$D$14="",Client_Info!$D$15=""),"",IF(EOMONTH(Client_Info!$D$14,95)&lt;=Client_Info!$D$15,EOMONTH(Client_Info!$D$14,95),""))</f>
        <v>45291</v>
      </c>
      <c r="D103" s="138"/>
      <c r="E103" s="138"/>
      <c r="F103" s="138"/>
      <c r="G103" s="143">
        <v>-3.92</v>
      </c>
      <c r="H103" s="143">
        <v>1.34</v>
      </c>
      <c r="I103" s="143">
        <v>0.09</v>
      </c>
      <c r="J103" s="143">
        <v>-1.32</v>
      </c>
      <c r="K103" s="138"/>
      <c r="L103" s="138"/>
      <c r="M103" s="138"/>
      <c r="N103" s="138"/>
      <c r="O103" s="138"/>
      <c r="P103" s="138"/>
      <c r="Q103" s="138"/>
      <c r="R103" s="138"/>
      <c r="S103" s="138"/>
      <c r="T103" s="138"/>
      <c r="U103" s="138"/>
      <c r="V103" s="138"/>
      <c r="W103" s="138"/>
      <c r="X103" s="138"/>
      <c r="Y103" s="138"/>
      <c r="Z103" s="138"/>
      <c r="AA103" s="143">
        <v>-3.92</v>
      </c>
      <c r="AB103" s="143">
        <v>-1.32</v>
      </c>
      <c r="AC103" s="138"/>
      <c r="AD103" s="138"/>
      <c r="AE103" s="138"/>
      <c r="AF103" s="138"/>
      <c r="AG103" s="138"/>
      <c r="AH103" s="138"/>
      <c r="AI103" s="138"/>
      <c r="AJ103" s="138"/>
      <c r="AK103" s="138"/>
      <c r="AL103" s="138"/>
      <c r="AM103" s="138"/>
      <c r="AN103" s="138"/>
      <c r="AO103" s="138"/>
      <c r="AP103" s="138"/>
      <c r="AQ103" s="138"/>
      <c r="AR103" s="138"/>
      <c r="AS103" s="138"/>
      <c r="AT103" s="139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40"/>
      <c r="BH103" s="140"/>
      <c r="BI103" s="140"/>
      <c r="BJ103" s="140"/>
      <c r="BK103" s="140"/>
      <c r="BL103" s="140"/>
      <c r="BM103" s="140"/>
      <c r="BN103" s="140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</row>
    <row r="104" spans="1:200" ht="15" customHeight="1" x14ac:dyDescent="0.2">
      <c r="A104" s="18"/>
      <c r="B104" s="18" t="str">
        <f t="shared" ref="B104:B135" si="3">IF(C104="","","[ROW:"&amp;UPPER(TEXT(C104,"MMM"))&amp;"_"&amp;TEXT(C104,"YYYY")&amp;"]")</f>
        <v>[ROW:JAN_2024]</v>
      </c>
      <c r="C104" s="29">
        <f>IF(OR(Client_Info!$D$14="",Client_Info!$D$15=""),"",IF(EOMONTH(Client_Info!$D$14,96)&lt;=Client_Info!$D$15,EOMONTH(Client_Info!$D$14,96),""))</f>
        <v>45322</v>
      </c>
      <c r="D104" s="138"/>
      <c r="E104" s="138"/>
      <c r="F104" s="138"/>
      <c r="G104" s="143">
        <v>0.47</v>
      </c>
      <c r="H104" s="143">
        <v>0.09</v>
      </c>
      <c r="I104" s="143">
        <v>-0.18</v>
      </c>
      <c r="J104" s="143">
        <v>-0.5</v>
      </c>
      <c r="K104" s="138"/>
      <c r="L104" s="138"/>
      <c r="M104" s="138"/>
      <c r="N104" s="138"/>
      <c r="O104" s="138"/>
      <c r="P104" s="138"/>
      <c r="Q104" s="138"/>
      <c r="R104" s="138"/>
      <c r="S104" s="138"/>
      <c r="T104" s="138"/>
      <c r="U104" s="138"/>
      <c r="V104" s="138"/>
      <c r="W104" s="138"/>
      <c r="X104" s="138"/>
      <c r="Y104" s="138"/>
      <c r="Z104" s="138"/>
      <c r="AA104" s="143">
        <v>0.47</v>
      </c>
      <c r="AB104" s="143">
        <v>-0.5</v>
      </c>
      <c r="AC104" s="138"/>
      <c r="AD104" s="138"/>
      <c r="AE104" s="138"/>
      <c r="AF104" s="138"/>
      <c r="AG104" s="138"/>
      <c r="AH104" s="138"/>
      <c r="AI104" s="138"/>
      <c r="AJ104" s="138"/>
      <c r="AK104" s="138"/>
      <c r="AL104" s="138"/>
      <c r="AM104" s="138"/>
      <c r="AN104" s="138"/>
      <c r="AO104" s="138"/>
      <c r="AP104" s="138"/>
      <c r="AQ104" s="138"/>
      <c r="AR104" s="138"/>
      <c r="AS104" s="138"/>
      <c r="AT104" s="139"/>
      <c r="AU104" s="140"/>
      <c r="AV104" s="140"/>
      <c r="AW104" s="140"/>
      <c r="AX104" s="140"/>
      <c r="AY104" s="140"/>
      <c r="AZ104" s="140"/>
      <c r="BA104" s="140"/>
      <c r="BB104" s="140"/>
      <c r="BC104" s="140"/>
      <c r="BD104" s="140"/>
      <c r="BE104" s="140"/>
      <c r="BF104" s="140"/>
      <c r="BG104" s="140"/>
      <c r="BH104" s="140"/>
      <c r="BI104" s="140"/>
      <c r="BJ104" s="140"/>
      <c r="BK104" s="140"/>
      <c r="BL104" s="140"/>
      <c r="BM104" s="140"/>
      <c r="BN104" s="140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</row>
    <row r="105" spans="1:200" ht="15" customHeight="1" x14ac:dyDescent="0.2">
      <c r="A105" s="18"/>
      <c r="B105" s="18" t="str">
        <f t="shared" si="3"/>
        <v>[ROW:FEB_2024]</v>
      </c>
      <c r="C105" s="29">
        <f>IF(OR(Client_Info!$D$14="",Client_Info!$D$15=""),"",IF(EOMONTH(Client_Info!$D$14,97)&lt;=Client_Info!$D$15,EOMONTH(Client_Info!$D$14,97),""))</f>
        <v>45351</v>
      </c>
      <c r="D105" s="138"/>
      <c r="E105" s="138"/>
      <c r="F105" s="138"/>
      <c r="G105" s="143">
        <v>0.38</v>
      </c>
      <c r="H105" s="143">
        <v>-0.87</v>
      </c>
      <c r="I105" s="143">
        <v>0.46</v>
      </c>
      <c r="J105" s="143">
        <v>0.17</v>
      </c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8"/>
      <c r="AA105" s="143">
        <v>0.38</v>
      </c>
      <c r="AB105" s="143">
        <v>0.17</v>
      </c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8"/>
      <c r="AM105" s="138"/>
      <c r="AN105" s="138"/>
      <c r="AO105" s="138"/>
      <c r="AP105" s="138"/>
      <c r="AQ105" s="138"/>
      <c r="AR105" s="138"/>
      <c r="AS105" s="138"/>
      <c r="AT105" s="139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40"/>
      <c r="BH105" s="140"/>
      <c r="BI105" s="140"/>
      <c r="BJ105" s="140"/>
      <c r="BK105" s="140"/>
      <c r="BL105" s="140"/>
      <c r="BM105" s="140"/>
      <c r="BN105" s="140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</row>
    <row r="106" spans="1:200" ht="15" customHeight="1" x14ac:dyDescent="0.2">
      <c r="A106" s="18"/>
      <c r="B106" s="18" t="str">
        <f t="shared" si="3"/>
        <v>[ROW:MAR_2024]</v>
      </c>
      <c r="C106" s="29">
        <f>IF(OR(Client_Info!$D$14="",Client_Info!$D$15=""),"",IF(EOMONTH(Client_Info!$D$14,98)&lt;=Client_Info!$D$15,EOMONTH(Client_Info!$D$14,98),""))</f>
        <v>45382</v>
      </c>
      <c r="D106" s="138"/>
      <c r="E106" s="138"/>
      <c r="F106" s="138"/>
      <c r="G106" s="143">
        <v>0.59</v>
      </c>
      <c r="H106" s="143">
        <v>1.9</v>
      </c>
      <c r="I106" s="143">
        <v>-7.0000000000000007E-2</v>
      </c>
      <c r="J106" s="143">
        <v>-0.28999999999999998</v>
      </c>
      <c r="K106" s="138"/>
      <c r="L106" s="138"/>
      <c r="M106" s="138"/>
      <c r="N106" s="138"/>
      <c r="O106" s="138"/>
      <c r="P106" s="138"/>
      <c r="Q106" s="138"/>
      <c r="R106" s="138"/>
      <c r="S106" s="138"/>
      <c r="T106" s="138"/>
      <c r="U106" s="138"/>
      <c r="V106" s="138"/>
      <c r="W106" s="138"/>
      <c r="X106" s="138"/>
      <c r="Y106" s="138"/>
      <c r="Z106" s="138"/>
      <c r="AA106" s="143">
        <v>0.59</v>
      </c>
      <c r="AB106" s="143">
        <v>-0.28999999999999998</v>
      </c>
      <c r="AC106" s="138"/>
      <c r="AD106" s="138"/>
      <c r="AE106" s="138"/>
      <c r="AF106" s="138"/>
      <c r="AG106" s="138"/>
      <c r="AH106" s="138"/>
      <c r="AI106" s="138"/>
      <c r="AJ106" s="138"/>
      <c r="AK106" s="138"/>
      <c r="AL106" s="138"/>
      <c r="AM106" s="138"/>
      <c r="AN106" s="138"/>
      <c r="AO106" s="138"/>
      <c r="AP106" s="138"/>
      <c r="AQ106" s="138"/>
      <c r="AR106" s="138"/>
      <c r="AS106" s="138"/>
      <c r="AT106" s="139"/>
      <c r="AU106" s="140"/>
      <c r="AV106" s="140"/>
      <c r="AW106" s="140"/>
      <c r="AX106" s="140"/>
      <c r="AY106" s="140"/>
      <c r="AZ106" s="140"/>
      <c r="BA106" s="140"/>
      <c r="BB106" s="140"/>
      <c r="BC106" s="140"/>
      <c r="BD106" s="140"/>
      <c r="BE106" s="140"/>
      <c r="BF106" s="140"/>
      <c r="BG106" s="140"/>
      <c r="BH106" s="140"/>
      <c r="BI106" s="140"/>
      <c r="BJ106" s="140"/>
      <c r="BK106" s="140"/>
      <c r="BL106" s="140"/>
      <c r="BM106" s="140"/>
      <c r="BN106" s="140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</row>
    <row r="107" spans="1:200" ht="15" customHeight="1" x14ac:dyDescent="0.2">
      <c r="A107" s="18"/>
      <c r="B107" s="18" t="str">
        <f t="shared" si="3"/>
        <v>[ROW:APR_2024]</v>
      </c>
      <c r="C107" s="29">
        <f>IF(OR(Client_Info!$D$14="",Client_Info!$D$15=""),"",IF(EOMONTH(Client_Info!$D$14,99)&lt;=Client_Info!$D$15,EOMONTH(Client_Info!$D$14,99),""))</f>
        <v>45412</v>
      </c>
      <c r="D107" s="138"/>
      <c r="E107" s="138"/>
      <c r="F107" s="138"/>
      <c r="G107" s="143">
        <v>-1.1499999999999999</v>
      </c>
      <c r="H107" s="143">
        <v>1.06</v>
      </c>
      <c r="I107" s="143">
        <v>-0.46</v>
      </c>
      <c r="J107" s="143">
        <v>-0.59</v>
      </c>
      <c r="K107" s="138"/>
      <c r="L107" s="138"/>
      <c r="M107" s="138"/>
      <c r="N107" s="138"/>
      <c r="O107" s="138"/>
      <c r="P107" s="138"/>
      <c r="Q107" s="138"/>
      <c r="R107" s="138"/>
      <c r="S107" s="138"/>
      <c r="T107" s="138"/>
      <c r="U107" s="138"/>
      <c r="V107" s="138"/>
      <c r="W107" s="138"/>
      <c r="X107" s="138"/>
      <c r="Y107" s="138"/>
      <c r="Z107" s="138"/>
      <c r="AA107" s="143">
        <v>-1.1499999999999999</v>
      </c>
      <c r="AB107" s="143">
        <v>-0.59</v>
      </c>
      <c r="AC107" s="138"/>
      <c r="AD107" s="138"/>
      <c r="AE107" s="138"/>
      <c r="AF107" s="138"/>
      <c r="AG107" s="138"/>
      <c r="AH107" s="138"/>
      <c r="AI107" s="138"/>
      <c r="AJ107" s="138"/>
      <c r="AK107" s="138"/>
      <c r="AL107" s="138"/>
      <c r="AM107" s="138"/>
      <c r="AN107" s="138"/>
      <c r="AO107" s="138"/>
      <c r="AP107" s="138"/>
      <c r="AQ107" s="138"/>
      <c r="AR107" s="138"/>
      <c r="AS107" s="138"/>
      <c r="AT107" s="139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40"/>
      <c r="BH107" s="140"/>
      <c r="BI107" s="140"/>
      <c r="BJ107" s="140"/>
      <c r="BK107" s="140"/>
      <c r="BL107" s="140"/>
      <c r="BM107" s="140"/>
      <c r="BN107" s="140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</row>
    <row r="108" spans="1:200" ht="15" customHeight="1" x14ac:dyDescent="0.2">
      <c r="A108" s="18"/>
      <c r="B108" s="18" t="str">
        <f t="shared" si="3"/>
        <v>[ROW:MAY_2024]</v>
      </c>
      <c r="C108" s="29">
        <f>IF(OR(Client_Info!$D$14="",Client_Info!$D$15=""),"",IF(EOMONTH(Client_Info!$D$14,100)&lt;=Client_Info!$D$15,EOMONTH(Client_Info!$D$14,100),""))</f>
        <v>45443</v>
      </c>
      <c r="D108" s="138"/>
      <c r="E108" s="138"/>
      <c r="F108" s="138"/>
      <c r="G108" s="143">
        <v>-1.97</v>
      </c>
      <c r="H108" s="143">
        <v>0.68</v>
      </c>
      <c r="I108" s="143">
        <v>0.71</v>
      </c>
      <c r="J108" s="143">
        <v>-1.42</v>
      </c>
      <c r="K108" s="138"/>
      <c r="L108" s="138"/>
      <c r="M108" s="138"/>
      <c r="N108" s="138"/>
      <c r="O108" s="138"/>
      <c r="P108" s="138"/>
      <c r="Q108" s="138"/>
      <c r="R108" s="138"/>
      <c r="S108" s="138"/>
      <c r="T108" s="138"/>
      <c r="U108" s="138"/>
      <c r="V108" s="138"/>
      <c r="W108" s="138"/>
      <c r="X108" s="138"/>
      <c r="Y108" s="138"/>
      <c r="Z108" s="138"/>
      <c r="AA108" s="143">
        <v>-1.97</v>
      </c>
      <c r="AB108" s="143">
        <v>-1.42</v>
      </c>
      <c r="AC108" s="138"/>
      <c r="AD108" s="138"/>
      <c r="AE108" s="138"/>
      <c r="AF108" s="138"/>
      <c r="AG108" s="138"/>
      <c r="AH108" s="138"/>
      <c r="AI108" s="138"/>
      <c r="AJ108" s="138"/>
      <c r="AK108" s="138"/>
      <c r="AL108" s="138"/>
      <c r="AM108" s="138"/>
      <c r="AN108" s="138"/>
      <c r="AO108" s="138"/>
      <c r="AP108" s="138"/>
      <c r="AQ108" s="138"/>
      <c r="AR108" s="138"/>
      <c r="AS108" s="138"/>
      <c r="AT108" s="139"/>
      <c r="AU108" s="140"/>
      <c r="AV108" s="140"/>
      <c r="AW108" s="140"/>
      <c r="AX108" s="140"/>
      <c r="AY108" s="140"/>
      <c r="AZ108" s="140"/>
      <c r="BA108" s="140"/>
      <c r="BB108" s="140"/>
      <c r="BC108" s="140"/>
      <c r="BD108" s="140"/>
      <c r="BE108" s="140"/>
      <c r="BF108" s="140"/>
      <c r="BG108" s="140"/>
      <c r="BH108" s="140"/>
      <c r="BI108" s="140"/>
      <c r="BJ108" s="140"/>
      <c r="BK108" s="140"/>
      <c r="BL108" s="140"/>
      <c r="BM108" s="140"/>
      <c r="BN108" s="140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</row>
    <row r="109" spans="1:200" ht="15" customHeight="1" x14ac:dyDescent="0.2">
      <c r="A109" s="18"/>
      <c r="B109" s="18" t="str">
        <f t="shared" si="3"/>
        <v>[ROW:JUN_2024]</v>
      </c>
      <c r="C109" s="29">
        <f>IF(OR(Client_Info!$D$14="",Client_Info!$D$15=""),"",IF(EOMONTH(Client_Info!$D$14,101)&lt;=Client_Info!$D$15,EOMONTH(Client_Info!$D$14,101),""))</f>
        <v>45473</v>
      </c>
      <c r="D109" s="138"/>
      <c r="E109" s="138"/>
      <c r="F109" s="138"/>
      <c r="G109" s="143">
        <v>0.04</v>
      </c>
      <c r="H109" s="143">
        <v>2.5</v>
      </c>
      <c r="I109" s="143">
        <v>2.59</v>
      </c>
      <c r="J109" s="143">
        <v>0.11</v>
      </c>
      <c r="K109" s="138"/>
      <c r="L109" s="138"/>
      <c r="M109" s="138"/>
      <c r="N109" s="138"/>
      <c r="O109" s="138"/>
      <c r="P109" s="138"/>
      <c r="Q109" s="138"/>
      <c r="R109" s="138"/>
      <c r="S109" s="138"/>
      <c r="T109" s="138"/>
      <c r="U109" s="138"/>
      <c r="V109" s="138"/>
      <c r="W109" s="138"/>
      <c r="X109" s="138"/>
      <c r="Y109" s="138"/>
      <c r="Z109" s="138"/>
      <c r="AA109" s="143">
        <v>0.04</v>
      </c>
      <c r="AB109" s="143">
        <v>0.11</v>
      </c>
      <c r="AC109" s="138"/>
      <c r="AD109" s="138"/>
      <c r="AE109" s="138"/>
      <c r="AF109" s="138"/>
      <c r="AG109" s="138"/>
      <c r="AH109" s="138"/>
      <c r="AI109" s="138"/>
      <c r="AJ109" s="138"/>
      <c r="AK109" s="138"/>
      <c r="AL109" s="138"/>
      <c r="AM109" s="138"/>
      <c r="AN109" s="138"/>
      <c r="AO109" s="138"/>
      <c r="AP109" s="138"/>
      <c r="AQ109" s="138"/>
      <c r="AR109" s="138"/>
      <c r="AS109" s="138"/>
      <c r="AT109" s="139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40"/>
      <c r="BH109" s="140"/>
      <c r="BI109" s="140"/>
      <c r="BJ109" s="140"/>
      <c r="BK109" s="140"/>
      <c r="BL109" s="140"/>
      <c r="BM109" s="140"/>
      <c r="BN109" s="140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</row>
    <row r="110" spans="1:200" ht="15" customHeight="1" x14ac:dyDescent="0.2">
      <c r="A110" s="18"/>
      <c r="B110" s="18" t="str">
        <f t="shared" si="3"/>
        <v>[ROW:JUL_2024]</v>
      </c>
      <c r="C110" s="29">
        <f>IF(OR(Client_Info!$D$14="",Client_Info!$D$15=""),"",IF(EOMONTH(Client_Info!$D$14,102)&lt;=Client_Info!$D$15,EOMONTH(Client_Info!$D$14,102),""))</f>
        <v>45504</v>
      </c>
      <c r="D110" s="138"/>
      <c r="E110" s="138"/>
      <c r="F110" s="138"/>
      <c r="G110" s="143">
        <v>-0.14000000000000001</v>
      </c>
      <c r="H110" s="143">
        <v>-1.3</v>
      </c>
      <c r="I110" s="143">
        <v>0.81</v>
      </c>
      <c r="J110" s="143">
        <v>-1.53</v>
      </c>
      <c r="K110" s="138"/>
      <c r="L110" s="138"/>
      <c r="M110" s="138"/>
      <c r="N110" s="138"/>
      <c r="O110" s="138"/>
      <c r="P110" s="138"/>
      <c r="Q110" s="138"/>
      <c r="R110" s="138"/>
      <c r="S110" s="138"/>
      <c r="T110" s="138"/>
      <c r="U110" s="138"/>
      <c r="V110" s="138"/>
      <c r="W110" s="138"/>
      <c r="X110" s="138"/>
      <c r="Y110" s="138"/>
      <c r="Z110" s="138"/>
      <c r="AA110" s="143">
        <v>-0.14000000000000001</v>
      </c>
      <c r="AB110" s="143">
        <v>-1.53</v>
      </c>
      <c r="AC110" s="138"/>
      <c r="AD110" s="138"/>
      <c r="AE110" s="138"/>
      <c r="AF110" s="138"/>
      <c r="AG110" s="138"/>
      <c r="AH110" s="138"/>
      <c r="AI110" s="138"/>
      <c r="AJ110" s="138"/>
      <c r="AK110" s="138"/>
      <c r="AL110" s="138"/>
      <c r="AM110" s="138"/>
      <c r="AN110" s="138"/>
      <c r="AO110" s="138"/>
      <c r="AP110" s="138"/>
      <c r="AQ110" s="138"/>
      <c r="AR110" s="138"/>
      <c r="AS110" s="138"/>
      <c r="AT110" s="139"/>
      <c r="AU110" s="140"/>
      <c r="AV110" s="140"/>
      <c r="AW110" s="140"/>
      <c r="AX110" s="140"/>
      <c r="AY110" s="140"/>
      <c r="AZ110" s="140"/>
      <c r="BA110" s="140"/>
      <c r="BB110" s="140"/>
      <c r="BC110" s="140"/>
      <c r="BD110" s="140"/>
      <c r="BE110" s="140"/>
      <c r="BF110" s="140"/>
      <c r="BG110" s="140"/>
      <c r="BH110" s="140"/>
      <c r="BI110" s="140"/>
      <c r="BJ110" s="140"/>
      <c r="BK110" s="140"/>
      <c r="BL110" s="140"/>
      <c r="BM110" s="140"/>
      <c r="BN110" s="140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</row>
    <row r="111" spans="1:200" ht="15" customHeight="1" x14ac:dyDescent="0.2">
      <c r="A111" s="18"/>
      <c r="B111" s="18" t="str">
        <f t="shared" si="3"/>
        <v>[ROW:AUG_2024]</v>
      </c>
      <c r="C111" s="29">
        <f>IF(OR(Client_Info!$D$14="",Client_Info!$D$15=""),"",IF(EOMONTH(Client_Info!$D$14,103)&lt;=Client_Info!$D$15,EOMONTH(Client_Info!$D$14,103),""))</f>
        <v>45535</v>
      </c>
      <c r="D111" s="138"/>
      <c r="E111" s="138"/>
      <c r="F111" s="138"/>
      <c r="G111" s="143">
        <v>-1.1000000000000001</v>
      </c>
      <c r="H111" s="143">
        <v>-5.56</v>
      </c>
      <c r="I111" s="143">
        <v>-1.52</v>
      </c>
      <c r="J111" s="143">
        <v>1.0900000000000001</v>
      </c>
      <c r="K111" s="138"/>
      <c r="L111" s="138"/>
      <c r="M111" s="138"/>
      <c r="N111" s="138"/>
      <c r="O111" s="138"/>
      <c r="P111" s="138"/>
      <c r="Q111" s="138"/>
      <c r="R111" s="138"/>
      <c r="S111" s="138"/>
      <c r="T111" s="138"/>
      <c r="U111" s="138"/>
      <c r="V111" s="138"/>
      <c r="W111" s="138"/>
      <c r="X111" s="138"/>
      <c r="Y111" s="138"/>
      <c r="Z111" s="138"/>
      <c r="AA111" s="143">
        <v>-1.1000000000000001</v>
      </c>
      <c r="AB111" s="143">
        <v>1.0900000000000001</v>
      </c>
      <c r="AC111" s="138"/>
      <c r="AD111" s="138"/>
      <c r="AE111" s="138"/>
      <c r="AF111" s="138"/>
      <c r="AG111" s="138"/>
      <c r="AH111" s="138"/>
      <c r="AI111" s="138"/>
      <c r="AJ111" s="138"/>
      <c r="AK111" s="138"/>
      <c r="AL111" s="138"/>
      <c r="AM111" s="138"/>
      <c r="AN111" s="138"/>
      <c r="AO111" s="138"/>
      <c r="AP111" s="138"/>
      <c r="AQ111" s="138"/>
      <c r="AR111" s="138"/>
      <c r="AS111" s="138"/>
      <c r="AT111" s="139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40"/>
      <c r="BH111" s="140"/>
      <c r="BI111" s="140"/>
      <c r="BJ111" s="140"/>
      <c r="BK111" s="140"/>
      <c r="BL111" s="140"/>
      <c r="BM111" s="140"/>
      <c r="BN111" s="140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</row>
    <row r="112" spans="1:200" ht="15" customHeight="1" x14ac:dyDescent="0.2">
      <c r="A112" s="18"/>
      <c r="B112" s="18" t="str">
        <f t="shared" si="3"/>
        <v>[ROW:SEP_2024]</v>
      </c>
      <c r="C112" s="29">
        <f>IF(OR(Client_Info!$D$14="",Client_Info!$D$15=""),"",IF(EOMONTH(Client_Info!$D$14,104)&lt;=Client_Info!$D$15,EOMONTH(Client_Info!$D$14,104),""))</f>
        <v>45565</v>
      </c>
      <c r="D112" s="138"/>
      <c r="E112" s="138"/>
      <c r="F112" s="138"/>
      <c r="G112" s="143">
        <v>-0.21</v>
      </c>
      <c r="H112" s="143">
        <v>-4.2</v>
      </c>
      <c r="I112" s="143">
        <v>-0.28999999999999998</v>
      </c>
      <c r="J112" s="143">
        <v>0.3</v>
      </c>
      <c r="K112" s="138"/>
      <c r="L112" s="138"/>
      <c r="M112" s="138"/>
      <c r="N112" s="138"/>
      <c r="O112" s="138"/>
      <c r="P112" s="138"/>
      <c r="Q112" s="138"/>
      <c r="R112" s="138"/>
      <c r="S112" s="138"/>
      <c r="T112" s="138"/>
      <c r="U112" s="138"/>
      <c r="V112" s="138"/>
      <c r="W112" s="138"/>
      <c r="X112" s="138"/>
      <c r="Y112" s="138"/>
      <c r="Z112" s="138"/>
      <c r="AA112" s="143">
        <v>-0.21</v>
      </c>
      <c r="AB112" s="143">
        <v>0.3</v>
      </c>
      <c r="AC112" s="138"/>
      <c r="AD112" s="138"/>
      <c r="AE112" s="138"/>
      <c r="AF112" s="138"/>
      <c r="AG112" s="138"/>
      <c r="AH112" s="138"/>
      <c r="AI112" s="138"/>
      <c r="AJ112" s="138"/>
      <c r="AK112" s="138"/>
      <c r="AL112" s="138"/>
      <c r="AM112" s="138"/>
      <c r="AN112" s="138"/>
      <c r="AO112" s="138"/>
      <c r="AP112" s="138"/>
      <c r="AQ112" s="138"/>
      <c r="AR112" s="138"/>
      <c r="AS112" s="138"/>
      <c r="AT112" s="139"/>
      <c r="AU112" s="140"/>
      <c r="AV112" s="140"/>
      <c r="AW112" s="140"/>
      <c r="AX112" s="140"/>
      <c r="AY112" s="140"/>
      <c r="AZ112" s="140"/>
      <c r="BA112" s="140"/>
      <c r="BB112" s="140"/>
      <c r="BC112" s="140"/>
      <c r="BD112" s="140"/>
      <c r="BE112" s="140"/>
      <c r="BF112" s="140"/>
      <c r="BG112" s="140"/>
      <c r="BH112" s="140"/>
      <c r="BI112" s="140"/>
      <c r="BJ112" s="140"/>
      <c r="BK112" s="140"/>
      <c r="BL112" s="140"/>
      <c r="BM112" s="140"/>
      <c r="BN112" s="140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</row>
    <row r="113" spans="1:200" ht="15" customHeight="1" x14ac:dyDescent="0.2">
      <c r="A113" s="18"/>
      <c r="B113" s="18" t="str">
        <f t="shared" si="3"/>
        <v>[ROW:OCT_2024]</v>
      </c>
      <c r="C113" s="29">
        <f>IF(OR(Client_Info!$D$14="",Client_Info!$D$15=""),"",IF(EOMONTH(Client_Info!$D$14,105)&lt;=Client_Info!$D$15,EOMONTH(Client_Info!$D$14,105),""))</f>
        <v>45596</v>
      </c>
      <c r="D113" s="138"/>
      <c r="E113" s="138"/>
      <c r="F113" s="138"/>
      <c r="G113" s="143">
        <v>1.92</v>
      </c>
      <c r="H113" s="143">
        <v>-0.68</v>
      </c>
      <c r="I113" s="143">
        <v>0.08</v>
      </c>
      <c r="J113" s="143">
        <v>-1.47</v>
      </c>
      <c r="K113" s="138"/>
      <c r="L113" s="138"/>
      <c r="M113" s="138"/>
      <c r="N113" s="138"/>
      <c r="O113" s="138"/>
      <c r="P113" s="138"/>
      <c r="Q113" s="138"/>
      <c r="R113" s="138"/>
      <c r="S113" s="138"/>
      <c r="T113" s="138"/>
      <c r="U113" s="138"/>
      <c r="V113" s="138"/>
      <c r="W113" s="138"/>
      <c r="X113" s="138"/>
      <c r="Y113" s="138"/>
      <c r="Z113" s="138"/>
      <c r="AA113" s="143">
        <v>1.92</v>
      </c>
      <c r="AB113" s="143">
        <v>-1.47</v>
      </c>
      <c r="AC113" s="138"/>
      <c r="AD113" s="138"/>
      <c r="AE113" s="138"/>
      <c r="AF113" s="138"/>
      <c r="AG113" s="138"/>
      <c r="AH113" s="138"/>
      <c r="AI113" s="138"/>
      <c r="AJ113" s="138"/>
      <c r="AK113" s="138"/>
      <c r="AL113" s="138"/>
      <c r="AM113" s="138"/>
      <c r="AN113" s="138"/>
      <c r="AO113" s="138"/>
      <c r="AP113" s="138"/>
      <c r="AQ113" s="138"/>
      <c r="AR113" s="138"/>
      <c r="AS113" s="138"/>
      <c r="AT113" s="139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40"/>
      <c r="BH113" s="140"/>
      <c r="BI113" s="140"/>
      <c r="BJ113" s="140"/>
      <c r="BK113" s="140"/>
      <c r="BL113" s="140"/>
      <c r="BM113" s="140"/>
      <c r="BN113" s="140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</row>
    <row r="114" spans="1:200" ht="15" customHeight="1" x14ac:dyDescent="0.2">
      <c r="A114" s="18"/>
      <c r="B114" s="18" t="str">
        <f t="shared" si="3"/>
        <v>[ROW:NOV_2024]</v>
      </c>
      <c r="C114" s="29">
        <f>IF(OR(Client_Info!$D$14="",Client_Info!$D$15=""),"",IF(EOMONTH(Client_Info!$D$14,106)&lt;=Client_Info!$D$15,EOMONTH(Client_Info!$D$14,106),""))</f>
        <v>45626</v>
      </c>
      <c r="D114" s="138"/>
      <c r="E114" s="138"/>
      <c r="F114" s="138"/>
      <c r="G114" s="143">
        <v>3.92</v>
      </c>
      <c r="H114" s="143">
        <v>0.4</v>
      </c>
      <c r="I114" s="143">
        <v>0.06</v>
      </c>
      <c r="J114" s="143">
        <v>-0.15</v>
      </c>
      <c r="K114" s="138"/>
      <c r="L114" s="138"/>
      <c r="M114" s="138"/>
      <c r="N114" s="138"/>
      <c r="O114" s="138"/>
      <c r="P114" s="138"/>
      <c r="Q114" s="138"/>
      <c r="R114" s="138"/>
      <c r="S114" s="138"/>
      <c r="T114" s="138"/>
      <c r="U114" s="138"/>
      <c r="V114" s="138"/>
      <c r="W114" s="138"/>
      <c r="X114" s="138"/>
      <c r="Y114" s="138"/>
      <c r="Z114" s="138"/>
      <c r="AA114" s="143">
        <v>3.92</v>
      </c>
      <c r="AB114" s="143">
        <v>-0.15</v>
      </c>
      <c r="AC114" s="138"/>
      <c r="AD114" s="138"/>
      <c r="AE114" s="138"/>
      <c r="AF114" s="138"/>
      <c r="AG114" s="138"/>
      <c r="AH114" s="138"/>
      <c r="AI114" s="138"/>
      <c r="AJ114" s="138"/>
      <c r="AK114" s="138"/>
      <c r="AL114" s="138"/>
      <c r="AM114" s="138"/>
      <c r="AN114" s="138"/>
      <c r="AO114" s="138"/>
      <c r="AP114" s="138"/>
      <c r="AQ114" s="138"/>
      <c r="AR114" s="138"/>
      <c r="AS114" s="138"/>
      <c r="AT114" s="139"/>
      <c r="AU114" s="140"/>
      <c r="AV114" s="140"/>
      <c r="AW114" s="140"/>
      <c r="AX114" s="140"/>
      <c r="AY114" s="140"/>
      <c r="AZ114" s="140"/>
      <c r="BA114" s="140"/>
      <c r="BB114" s="140"/>
      <c r="BC114" s="140"/>
      <c r="BD114" s="140"/>
      <c r="BE114" s="140"/>
      <c r="BF114" s="140"/>
      <c r="BG114" s="140"/>
      <c r="BH114" s="140"/>
      <c r="BI114" s="140"/>
      <c r="BJ114" s="140"/>
      <c r="BK114" s="140"/>
      <c r="BL114" s="140"/>
      <c r="BM114" s="140"/>
      <c r="BN114" s="140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</row>
    <row r="115" spans="1:200" ht="15" customHeight="1" x14ac:dyDescent="0.2">
      <c r="A115" s="18"/>
      <c r="B115" s="18" t="str">
        <f t="shared" si="3"/>
        <v>[ROW:DEC_2024]</v>
      </c>
      <c r="C115" s="29">
        <f>IF(OR(Client_Info!$D$14="",Client_Info!$D$15=""),"",IF(EOMONTH(Client_Info!$D$14,107)&lt;=Client_Info!$D$15,EOMONTH(Client_Info!$D$14,107),""))</f>
        <v>45657</v>
      </c>
      <c r="D115" s="138"/>
      <c r="E115" s="138"/>
      <c r="F115" s="138"/>
      <c r="G115" s="143">
        <v>-7.0000000000000007E-2</v>
      </c>
      <c r="H115" s="143">
        <v>1.87</v>
      </c>
      <c r="I115" s="143">
        <v>-0.17</v>
      </c>
      <c r="J115" s="143">
        <v>-0.66</v>
      </c>
      <c r="K115" s="138"/>
      <c r="L115" s="138"/>
      <c r="M115" s="138"/>
      <c r="N115" s="138"/>
      <c r="O115" s="138"/>
      <c r="P115" s="138"/>
      <c r="Q115" s="138"/>
      <c r="R115" s="138"/>
      <c r="S115" s="138"/>
      <c r="T115" s="138"/>
      <c r="U115" s="138"/>
      <c r="V115" s="138"/>
      <c r="W115" s="138"/>
      <c r="X115" s="138"/>
      <c r="Y115" s="138"/>
      <c r="Z115" s="138"/>
      <c r="AA115" s="143">
        <v>-7.0000000000000007E-2</v>
      </c>
      <c r="AB115" s="143">
        <v>-0.66</v>
      </c>
      <c r="AC115" s="138"/>
      <c r="AD115" s="138"/>
      <c r="AE115" s="138"/>
      <c r="AF115" s="138"/>
      <c r="AG115" s="138"/>
      <c r="AH115" s="138"/>
      <c r="AI115" s="138"/>
      <c r="AJ115" s="138"/>
      <c r="AK115" s="138"/>
      <c r="AL115" s="138"/>
      <c r="AM115" s="138"/>
      <c r="AN115" s="138"/>
      <c r="AO115" s="138"/>
      <c r="AP115" s="138"/>
      <c r="AQ115" s="138"/>
      <c r="AR115" s="138"/>
      <c r="AS115" s="138"/>
      <c r="AT115" s="139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40"/>
      <c r="BH115" s="140"/>
      <c r="BI115" s="140"/>
      <c r="BJ115" s="140"/>
      <c r="BK115" s="140"/>
      <c r="BL115" s="140"/>
      <c r="BM115" s="140"/>
      <c r="BN115" s="140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</row>
    <row r="116" spans="1:200" ht="15" customHeight="1" x14ac:dyDescent="0.2">
      <c r="A116" s="18"/>
      <c r="B116" s="18" t="str">
        <f t="shared" si="3"/>
        <v>[ROW:JAN_2025]</v>
      </c>
      <c r="C116" s="29">
        <f>IF(OR(Client_Info!$D$14="",Client_Info!$D$15=""),"",IF(EOMONTH(Client_Info!$D$14,108)&lt;=Client_Info!$D$15,EOMONTH(Client_Info!$D$14,108),""))</f>
        <v>45688</v>
      </c>
      <c r="D116" s="138"/>
      <c r="E116" s="138"/>
      <c r="F116" s="138"/>
      <c r="G116" s="143">
        <v>0.28999999999999998</v>
      </c>
      <c r="H116" s="143">
        <v>-0.5</v>
      </c>
      <c r="I116" s="143">
        <v>1.54</v>
      </c>
      <c r="J116" s="143">
        <v>0.57999999999999996</v>
      </c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8"/>
      <c r="AA116" s="143">
        <v>0.28999999999999998</v>
      </c>
      <c r="AB116" s="143">
        <v>0.57999999999999996</v>
      </c>
      <c r="AC116" s="138"/>
      <c r="AD116" s="138"/>
      <c r="AE116" s="138"/>
      <c r="AF116" s="138"/>
      <c r="AG116" s="138"/>
      <c r="AH116" s="138"/>
      <c r="AI116" s="138"/>
      <c r="AJ116" s="138"/>
      <c r="AK116" s="138"/>
      <c r="AL116" s="138"/>
      <c r="AM116" s="138"/>
      <c r="AN116" s="138"/>
      <c r="AO116" s="138"/>
      <c r="AP116" s="138"/>
      <c r="AQ116" s="138"/>
      <c r="AR116" s="138"/>
      <c r="AS116" s="138"/>
      <c r="AT116" s="139"/>
      <c r="AU116" s="140"/>
      <c r="AV116" s="140"/>
      <c r="AW116" s="140"/>
      <c r="AX116" s="140"/>
      <c r="AY116" s="140"/>
      <c r="AZ116" s="140"/>
      <c r="BA116" s="140"/>
      <c r="BB116" s="140"/>
      <c r="BC116" s="140"/>
      <c r="BD116" s="140"/>
      <c r="BE116" s="140"/>
      <c r="BF116" s="140"/>
      <c r="BG116" s="140"/>
      <c r="BH116" s="140"/>
      <c r="BI116" s="140"/>
      <c r="BJ116" s="140"/>
      <c r="BK116" s="140"/>
      <c r="BL116" s="140"/>
      <c r="BM116" s="140"/>
      <c r="BN116" s="140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</row>
    <row r="117" spans="1:200" ht="15" customHeight="1" x14ac:dyDescent="0.2">
      <c r="A117" s="18"/>
      <c r="B117" s="18" t="str">
        <f t="shared" si="3"/>
        <v>[ROW:FEB_2025]</v>
      </c>
      <c r="C117" s="29">
        <f>IF(OR(Client_Info!$D$14="",Client_Info!$D$15=""),"",IF(EOMONTH(Client_Info!$D$14,109)&lt;=Client_Info!$D$15,EOMONTH(Client_Info!$D$14,109),""))</f>
        <v>45716</v>
      </c>
      <c r="D117" s="138"/>
      <c r="E117" s="138"/>
      <c r="F117" s="138"/>
      <c r="G117" s="143">
        <v>-0.26</v>
      </c>
      <c r="H117" s="143">
        <v>3.52</v>
      </c>
      <c r="I117" s="143">
        <v>0.25</v>
      </c>
      <c r="J117" s="143">
        <v>1.76</v>
      </c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  <c r="X117" s="138"/>
      <c r="Y117" s="138"/>
      <c r="Z117" s="138"/>
      <c r="AA117" s="143">
        <v>-0.26</v>
      </c>
      <c r="AB117" s="143">
        <v>1.76</v>
      </c>
      <c r="AC117" s="138"/>
      <c r="AD117" s="138"/>
      <c r="AE117" s="138"/>
      <c r="AF117" s="138"/>
      <c r="AG117" s="138"/>
      <c r="AH117" s="138"/>
      <c r="AI117" s="138"/>
      <c r="AJ117" s="138"/>
      <c r="AK117" s="138"/>
      <c r="AL117" s="138"/>
      <c r="AM117" s="138"/>
      <c r="AN117" s="138"/>
      <c r="AO117" s="138"/>
      <c r="AP117" s="138"/>
      <c r="AQ117" s="138"/>
      <c r="AR117" s="138"/>
      <c r="AS117" s="138"/>
      <c r="AT117" s="139"/>
      <c r="AU117" s="140"/>
      <c r="AV117" s="140"/>
      <c r="AW117" s="140"/>
      <c r="AX117" s="140"/>
      <c r="AY117" s="140"/>
      <c r="AZ117" s="140"/>
      <c r="BA117" s="140"/>
      <c r="BB117" s="140"/>
      <c r="BC117" s="140"/>
      <c r="BD117" s="140"/>
      <c r="BE117" s="140"/>
      <c r="BF117" s="140"/>
      <c r="BG117" s="140"/>
      <c r="BH117" s="140"/>
      <c r="BI117" s="140"/>
      <c r="BJ117" s="140"/>
      <c r="BK117" s="140"/>
      <c r="BL117" s="140"/>
      <c r="BM117" s="140"/>
      <c r="BN117" s="140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</row>
    <row r="118" spans="1:200" ht="15" customHeight="1" x14ac:dyDescent="0.2">
      <c r="A118" s="18"/>
      <c r="B118" s="18" t="str">
        <f t="shared" si="3"/>
        <v>[ROW:MAR_2025]</v>
      </c>
      <c r="C118" s="29">
        <f>IF(OR(Client_Info!$D$14="",Client_Info!$D$15=""),"",IF(EOMONTH(Client_Info!$D$14,110)&lt;=Client_Info!$D$15,EOMONTH(Client_Info!$D$14,110),""))</f>
        <v>45747</v>
      </c>
      <c r="D118" s="138"/>
      <c r="E118" s="138"/>
      <c r="F118" s="138"/>
      <c r="G118" s="143">
        <v>-3.59</v>
      </c>
      <c r="H118" s="143">
        <v>3.61</v>
      </c>
      <c r="I118" s="143">
        <v>0.52</v>
      </c>
      <c r="J118" s="143">
        <v>-1.96</v>
      </c>
      <c r="K118" s="138"/>
      <c r="L118" s="138"/>
      <c r="M118" s="138"/>
      <c r="N118" s="138"/>
      <c r="O118" s="138"/>
      <c r="P118" s="138"/>
      <c r="Q118" s="138"/>
      <c r="R118" s="138"/>
      <c r="S118" s="138"/>
      <c r="T118" s="138"/>
      <c r="U118" s="138"/>
      <c r="V118" s="138"/>
      <c r="W118" s="138"/>
      <c r="X118" s="138"/>
      <c r="Y118" s="138"/>
      <c r="Z118" s="138"/>
      <c r="AA118" s="143">
        <v>-3.59</v>
      </c>
      <c r="AB118" s="143">
        <v>-1.96</v>
      </c>
      <c r="AC118" s="138"/>
      <c r="AD118" s="138"/>
      <c r="AE118" s="138"/>
      <c r="AF118" s="138"/>
      <c r="AG118" s="138"/>
      <c r="AH118" s="138"/>
      <c r="AI118" s="138"/>
      <c r="AJ118" s="138"/>
      <c r="AK118" s="138"/>
      <c r="AL118" s="138"/>
      <c r="AM118" s="138"/>
      <c r="AN118" s="138"/>
      <c r="AO118" s="138"/>
      <c r="AP118" s="138"/>
      <c r="AQ118" s="138"/>
      <c r="AR118" s="138"/>
      <c r="AS118" s="138"/>
      <c r="AT118" s="139"/>
      <c r="AU118" s="140"/>
      <c r="AV118" s="140"/>
      <c r="AW118" s="140"/>
      <c r="AX118" s="140"/>
      <c r="AY118" s="140"/>
      <c r="AZ118" s="140"/>
      <c r="BA118" s="140"/>
      <c r="BB118" s="140"/>
      <c r="BC118" s="140"/>
      <c r="BD118" s="140"/>
      <c r="BE118" s="140"/>
      <c r="BF118" s="140"/>
      <c r="BG118" s="140"/>
      <c r="BH118" s="140"/>
      <c r="BI118" s="140"/>
      <c r="BJ118" s="140"/>
      <c r="BK118" s="140"/>
      <c r="BL118" s="140"/>
      <c r="BM118" s="140"/>
      <c r="BN118" s="140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</row>
    <row r="119" spans="1:200" ht="15" customHeight="1" x14ac:dyDescent="0.2">
      <c r="A119" s="18"/>
      <c r="B119" s="18" t="str">
        <f t="shared" si="3"/>
        <v>[ROW:APR_2025]</v>
      </c>
      <c r="C119" s="29">
        <f>IF(OR(Client_Info!$D$14="",Client_Info!$D$15=""),"",IF(EOMONTH(Client_Info!$D$14,111)&lt;=Client_Info!$D$15,EOMONTH(Client_Info!$D$14,111),""))</f>
        <v>45777</v>
      </c>
      <c r="D119" s="138"/>
      <c r="E119" s="138"/>
      <c r="F119" s="138"/>
      <c r="G119" s="143">
        <v>0.64</v>
      </c>
      <c r="H119" s="143">
        <v>0.41</v>
      </c>
      <c r="I119" s="143">
        <v>0.02</v>
      </c>
      <c r="J119" s="143">
        <v>0.34</v>
      </c>
      <c r="K119" s="138"/>
      <c r="L119" s="138"/>
      <c r="M119" s="138"/>
      <c r="N119" s="138"/>
      <c r="O119" s="138"/>
      <c r="P119" s="138"/>
      <c r="Q119" s="138"/>
      <c r="R119" s="138"/>
      <c r="S119" s="138"/>
      <c r="T119" s="138"/>
      <c r="U119" s="138"/>
      <c r="V119" s="138"/>
      <c r="W119" s="138"/>
      <c r="X119" s="138"/>
      <c r="Y119" s="138"/>
      <c r="Z119" s="138"/>
      <c r="AA119" s="143">
        <v>0.64</v>
      </c>
      <c r="AB119" s="143">
        <v>0.34</v>
      </c>
      <c r="AC119" s="138"/>
      <c r="AD119" s="138"/>
      <c r="AE119" s="138"/>
      <c r="AF119" s="138"/>
      <c r="AG119" s="138"/>
      <c r="AH119" s="138"/>
      <c r="AI119" s="138"/>
      <c r="AJ119" s="138"/>
      <c r="AK119" s="138"/>
      <c r="AL119" s="138"/>
      <c r="AM119" s="138"/>
      <c r="AN119" s="138"/>
      <c r="AO119" s="138"/>
      <c r="AP119" s="138"/>
      <c r="AQ119" s="138"/>
      <c r="AR119" s="138"/>
      <c r="AS119" s="138"/>
      <c r="AT119" s="139"/>
      <c r="AU119" s="140"/>
      <c r="AV119" s="140"/>
      <c r="AW119" s="140"/>
      <c r="AX119" s="140"/>
      <c r="AY119" s="140"/>
      <c r="AZ119" s="140"/>
      <c r="BA119" s="140"/>
      <c r="BB119" s="140"/>
      <c r="BC119" s="140"/>
      <c r="BD119" s="140"/>
      <c r="BE119" s="140"/>
      <c r="BF119" s="140"/>
      <c r="BG119" s="140"/>
      <c r="BH119" s="140"/>
      <c r="BI119" s="140"/>
      <c r="BJ119" s="140"/>
      <c r="BK119" s="140"/>
      <c r="BL119" s="140"/>
      <c r="BM119" s="140"/>
      <c r="BN119" s="140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</row>
    <row r="120" spans="1:200" ht="15" customHeight="1" x14ac:dyDescent="0.2">
      <c r="A120" s="18"/>
      <c r="B120" s="18" t="str">
        <f t="shared" si="3"/>
        <v>[ROW:MAY_2025]</v>
      </c>
      <c r="C120" s="29">
        <f>IF(OR(Client_Info!$D$14="",Client_Info!$D$15=""),"",IF(EOMONTH(Client_Info!$D$14,112)&lt;=Client_Info!$D$15,EOMONTH(Client_Info!$D$14,112),""))</f>
        <v>45808</v>
      </c>
      <c r="D120" s="138"/>
      <c r="E120" s="138"/>
      <c r="F120" s="138"/>
      <c r="G120" s="143">
        <v>0.9</v>
      </c>
      <c r="H120" s="143">
        <v>-0.06</v>
      </c>
      <c r="I120" s="143">
        <v>0.64</v>
      </c>
      <c r="J120" s="143">
        <v>0.02</v>
      </c>
      <c r="K120" s="138"/>
      <c r="L120" s="138"/>
      <c r="M120" s="138"/>
      <c r="N120" s="138"/>
      <c r="O120" s="138"/>
      <c r="P120" s="138"/>
      <c r="Q120" s="138"/>
      <c r="R120" s="138"/>
      <c r="S120" s="138"/>
      <c r="T120" s="138"/>
      <c r="U120" s="138"/>
      <c r="V120" s="138"/>
      <c r="W120" s="138"/>
      <c r="X120" s="138"/>
      <c r="Y120" s="138"/>
      <c r="Z120" s="138"/>
      <c r="AA120" s="143">
        <v>0.9</v>
      </c>
      <c r="AB120" s="143">
        <v>0.02</v>
      </c>
      <c r="AC120" s="138"/>
      <c r="AD120" s="138"/>
      <c r="AE120" s="138"/>
      <c r="AF120" s="138"/>
      <c r="AG120" s="138"/>
      <c r="AH120" s="138"/>
      <c r="AI120" s="138"/>
      <c r="AJ120" s="138"/>
      <c r="AK120" s="138"/>
      <c r="AL120" s="138"/>
      <c r="AM120" s="138"/>
      <c r="AN120" s="138"/>
      <c r="AO120" s="138"/>
      <c r="AP120" s="138"/>
      <c r="AQ120" s="138"/>
      <c r="AR120" s="138"/>
      <c r="AS120" s="138"/>
      <c r="AT120" s="139"/>
      <c r="AU120" s="140"/>
      <c r="AV120" s="140"/>
      <c r="AW120" s="140"/>
      <c r="AX120" s="140"/>
      <c r="AY120" s="140"/>
      <c r="AZ120" s="140"/>
      <c r="BA120" s="140"/>
      <c r="BB120" s="140"/>
      <c r="BC120" s="140"/>
      <c r="BD120" s="140"/>
      <c r="BE120" s="140"/>
      <c r="BF120" s="140"/>
      <c r="BG120" s="140"/>
      <c r="BH120" s="140"/>
      <c r="BI120" s="140"/>
      <c r="BJ120" s="140"/>
      <c r="BK120" s="140"/>
      <c r="BL120" s="140"/>
      <c r="BM120" s="140"/>
      <c r="BN120" s="140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</row>
    <row r="121" spans="1:200" ht="15" customHeight="1" x14ac:dyDescent="0.2">
      <c r="A121" s="18"/>
      <c r="B121" s="18" t="str">
        <f t="shared" si="3"/>
        <v>[ROW:JUN_2025]</v>
      </c>
      <c r="C121" s="29">
        <f>IF(OR(Client_Info!$D$14="",Client_Info!$D$15=""),"",IF(EOMONTH(Client_Info!$D$14,113)&lt;=Client_Info!$D$15,EOMONTH(Client_Info!$D$14,113),""))</f>
        <v>45838</v>
      </c>
      <c r="D121" s="138"/>
      <c r="E121" s="138"/>
      <c r="F121" s="138"/>
      <c r="G121" s="143">
        <v>7.6</v>
      </c>
      <c r="H121" s="143">
        <v>1.48</v>
      </c>
      <c r="I121" s="143">
        <v>0.3</v>
      </c>
      <c r="J121" s="143">
        <v>0.98</v>
      </c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8"/>
      <c r="AA121" s="143">
        <v>7.6</v>
      </c>
      <c r="AB121" s="143">
        <v>0.98</v>
      </c>
      <c r="AC121" s="138"/>
      <c r="AD121" s="138"/>
      <c r="AE121" s="138"/>
      <c r="AF121" s="138"/>
      <c r="AG121" s="138"/>
      <c r="AH121" s="138"/>
      <c r="AI121" s="138"/>
      <c r="AJ121" s="138"/>
      <c r="AK121" s="138"/>
      <c r="AL121" s="138"/>
      <c r="AM121" s="138"/>
      <c r="AN121" s="138"/>
      <c r="AO121" s="138"/>
      <c r="AP121" s="138"/>
      <c r="AQ121" s="138"/>
      <c r="AR121" s="138"/>
      <c r="AS121" s="138"/>
      <c r="AT121" s="139"/>
      <c r="AU121" s="140"/>
      <c r="AV121" s="140"/>
      <c r="AW121" s="140"/>
      <c r="AX121" s="140"/>
      <c r="AY121" s="140"/>
      <c r="AZ121" s="140"/>
      <c r="BA121" s="140"/>
      <c r="BB121" s="140"/>
      <c r="BC121" s="140"/>
      <c r="BD121" s="140"/>
      <c r="BE121" s="140"/>
      <c r="BF121" s="140"/>
      <c r="BG121" s="140"/>
      <c r="BH121" s="140"/>
      <c r="BI121" s="140"/>
      <c r="BJ121" s="140"/>
      <c r="BK121" s="140"/>
      <c r="BL121" s="140"/>
      <c r="BM121" s="140"/>
      <c r="BN121" s="140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</row>
    <row r="122" spans="1:200" ht="15" customHeight="1" x14ac:dyDescent="0.2">
      <c r="A122" s="18"/>
      <c r="B122" s="18" t="str">
        <f t="shared" si="3"/>
        <v>[ROW:JUL_2025]</v>
      </c>
      <c r="C122" s="29">
        <f>IF(OR(Client_Info!$D$14="",Client_Info!$D$15=""),"",IF(EOMONTH(Client_Info!$D$14,114)&lt;=Client_Info!$D$15,EOMONTH(Client_Info!$D$14,114),""))</f>
        <v>45869</v>
      </c>
      <c r="D122" s="138"/>
      <c r="E122" s="138"/>
      <c r="F122" s="138"/>
      <c r="G122" s="143">
        <v>1.81</v>
      </c>
      <c r="H122" s="143">
        <v>2.8</v>
      </c>
      <c r="I122" s="143">
        <v>-0.47</v>
      </c>
      <c r="J122" s="143">
        <v>0.45</v>
      </c>
      <c r="K122" s="138"/>
      <c r="L122" s="138"/>
      <c r="M122" s="138"/>
      <c r="N122" s="138"/>
      <c r="O122" s="138"/>
      <c r="P122" s="138"/>
      <c r="Q122" s="138"/>
      <c r="R122" s="138"/>
      <c r="S122" s="138"/>
      <c r="T122" s="138"/>
      <c r="U122" s="138"/>
      <c r="V122" s="138"/>
      <c r="W122" s="138"/>
      <c r="X122" s="138"/>
      <c r="Y122" s="138"/>
      <c r="Z122" s="138"/>
      <c r="AA122" s="143">
        <v>1.81</v>
      </c>
      <c r="AB122" s="143">
        <v>0.45</v>
      </c>
      <c r="AC122" s="138"/>
      <c r="AD122" s="138"/>
      <c r="AE122" s="138"/>
      <c r="AF122" s="138"/>
      <c r="AG122" s="138"/>
      <c r="AH122" s="138"/>
      <c r="AI122" s="138"/>
      <c r="AJ122" s="138"/>
      <c r="AK122" s="138"/>
      <c r="AL122" s="138"/>
      <c r="AM122" s="138"/>
      <c r="AN122" s="138"/>
      <c r="AO122" s="138"/>
      <c r="AP122" s="138"/>
      <c r="AQ122" s="138"/>
      <c r="AR122" s="138"/>
      <c r="AS122" s="138"/>
      <c r="AT122" s="139"/>
      <c r="AU122" s="140"/>
      <c r="AV122" s="140"/>
      <c r="AW122" s="140"/>
      <c r="AX122" s="140"/>
      <c r="AY122" s="140"/>
      <c r="AZ122" s="140"/>
      <c r="BA122" s="140"/>
      <c r="BB122" s="140"/>
      <c r="BC122" s="140"/>
      <c r="BD122" s="140"/>
      <c r="BE122" s="140"/>
      <c r="BF122" s="140"/>
      <c r="BG122" s="140"/>
      <c r="BH122" s="140"/>
      <c r="BI122" s="140"/>
      <c r="BJ122" s="140"/>
      <c r="BK122" s="140"/>
      <c r="BL122" s="140"/>
      <c r="BM122" s="140"/>
      <c r="BN122" s="140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</row>
    <row r="123" spans="1:200" ht="15" customHeight="1" x14ac:dyDescent="0.2">
      <c r="A123" s="18"/>
      <c r="B123" s="18" t="str">
        <f t="shared" si="3"/>
        <v>[ROW:AUG_2025]</v>
      </c>
      <c r="C123" s="29">
        <f>IF(OR(Client_Info!$D$14="",Client_Info!$D$15=""),"",IF(EOMONTH(Client_Info!$D$14,115)&lt;=Client_Info!$D$15,EOMONTH(Client_Info!$D$14,115),""))</f>
        <v>45900</v>
      </c>
      <c r="D123" s="138"/>
      <c r="E123" s="138"/>
      <c r="F123" s="138"/>
      <c r="G123" s="143">
        <v>0.01</v>
      </c>
      <c r="H123" s="143">
        <v>4.2300000000000004</v>
      </c>
      <c r="I123" s="143">
        <v>0.28000000000000003</v>
      </c>
      <c r="J123" s="143">
        <v>-0.66</v>
      </c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8"/>
      <c r="AA123" s="143">
        <v>0.01</v>
      </c>
      <c r="AB123" s="143">
        <v>-0.66</v>
      </c>
      <c r="AC123" s="138"/>
      <c r="AD123" s="138"/>
      <c r="AE123" s="138"/>
      <c r="AF123" s="138"/>
      <c r="AG123" s="138"/>
      <c r="AH123" s="138"/>
      <c r="AI123" s="138"/>
      <c r="AJ123" s="138"/>
      <c r="AK123" s="138"/>
      <c r="AL123" s="138"/>
      <c r="AM123" s="138"/>
      <c r="AN123" s="138"/>
      <c r="AO123" s="138"/>
      <c r="AP123" s="138"/>
      <c r="AQ123" s="138"/>
      <c r="AR123" s="138"/>
      <c r="AS123" s="138"/>
      <c r="AT123" s="139"/>
      <c r="AU123" s="140"/>
      <c r="AV123" s="140"/>
      <c r="AW123" s="140"/>
      <c r="AX123" s="140"/>
      <c r="AY123" s="140"/>
      <c r="AZ123" s="140"/>
      <c r="BA123" s="140"/>
      <c r="BB123" s="140"/>
      <c r="BC123" s="140"/>
      <c r="BD123" s="140"/>
      <c r="BE123" s="140"/>
      <c r="BF123" s="140"/>
      <c r="BG123" s="140"/>
      <c r="BH123" s="140"/>
      <c r="BI123" s="140"/>
      <c r="BJ123" s="140"/>
      <c r="BK123" s="140"/>
      <c r="BL123" s="140"/>
      <c r="BM123" s="140"/>
      <c r="BN123" s="140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</row>
    <row r="124" spans="1:200" ht="15" customHeight="1" x14ac:dyDescent="0.2">
      <c r="A124" s="18"/>
      <c r="B124" s="18" t="str">
        <f t="shared" si="3"/>
        <v>[ROW:SEP_2025]</v>
      </c>
      <c r="C124" s="29">
        <f>IF(OR(Client_Info!$D$14="",Client_Info!$D$15=""),"",IF(EOMONTH(Client_Info!$D$14,116)&lt;=Client_Info!$D$15,EOMONTH(Client_Info!$D$14,116),""))</f>
        <v>45930</v>
      </c>
      <c r="D124" s="138"/>
      <c r="E124" s="138"/>
      <c r="F124" s="138"/>
      <c r="G124" s="143">
        <v>1.0900000000000001</v>
      </c>
      <c r="H124" s="143">
        <v>2.92</v>
      </c>
      <c r="I124" s="143">
        <v>0.31</v>
      </c>
      <c r="J124" s="143">
        <v>-0.16</v>
      </c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8"/>
      <c r="AA124" s="143">
        <v>1.0900000000000001</v>
      </c>
      <c r="AB124" s="143">
        <v>-0.16</v>
      </c>
      <c r="AC124" s="138"/>
      <c r="AD124" s="138"/>
      <c r="AE124" s="138"/>
      <c r="AF124" s="138"/>
      <c r="AG124" s="138"/>
      <c r="AH124" s="138"/>
      <c r="AI124" s="138"/>
      <c r="AJ124" s="138"/>
      <c r="AK124" s="138"/>
      <c r="AL124" s="138"/>
      <c r="AM124" s="138"/>
      <c r="AN124" s="138"/>
      <c r="AO124" s="138"/>
      <c r="AP124" s="138"/>
      <c r="AQ124" s="138"/>
      <c r="AR124" s="138"/>
      <c r="AS124" s="138"/>
      <c r="AT124" s="139"/>
      <c r="AU124" s="140"/>
      <c r="AV124" s="140"/>
      <c r="AW124" s="140"/>
      <c r="AX124" s="140"/>
      <c r="AY124" s="140"/>
      <c r="AZ124" s="140"/>
      <c r="BA124" s="140"/>
      <c r="BB124" s="140"/>
      <c r="BC124" s="140"/>
      <c r="BD124" s="140"/>
      <c r="BE124" s="140"/>
      <c r="BF124" s="140"/>
      <c r="BG124" s="140"/>
      <c r="BH124" s="140"/>
      <c r="BI124" s="140"/>
      <c r="BJ124" s="140"/>
      <c r="BK124" s="140"/>
      <c r="BL124" s="140"/>
      <c r="BM124" s="140"/>
      <c r="BN124" s="140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</row>
    <row r="125" spans="1:200" ht="15" customHeight="1" x14ac:dyDescent="0.2">
      <c r="A125" s="18"/>
      <c r="B125" s="18" t="str">
        <f t="shared" si="3"/>
        <v>[ROW:OCT_2025]</v>
      </c>
      <c r="C125" s="29">
        <f>IF(OR(Client_Info!$D$14="",Client_Info!$D$15=""),"",IF(EOMONTH(Client_Info!$D$14,117)&lt;=Client_Info!$D$15,EOMONTH(Client_Info!$D$14,117),""))</f>
        <v>45961</v>
      </c>
      <c r="D125" s="138"/>
      <c r="E125" s="138"/>
      <c r="F125" s="138"/>
      <c r="G125" s="143">
        <v>-2.29</v>
      </c>
      <c r="H125" s="143">
        <v>1.2</v>
      </c>
      <c r="I125" s="143">
        <v>1.37</v>
      </c>
      <c r="J125" s="143">
        <v>-0.71</v>
      </c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8"/>
      <c r="AA125" s="143">
        <v>-2.29</v>
      </c>
      <c r="AB125" s="143">
        <v>-0.71</v>
      </c>
      <c r="AC125" s="138"/>
      <c r="AD125" s="138"/>
      <c r="AE125" s="138"/>
      <c r="AF125" s="138"/>
      <c r="AG125" s="138"/>
      <c r="AH125" s="138"/>
      <c r="AI125" s="138"/>
      <c r="AJ125" s="138"/>
      <c r="AK125" s="138"/>
      <c r="AL125" s="138"/>
      <c r="AM125" s="138"/>
      <c r="AN125" s="138"/>
      <c r="AO125" s="138"/>
      <c r="AP125" s="138"/>
      <c r="AQ125" s="138"/>
      <c r="AR125" s="138"/>
      <c r="AS125" s="138"/>
      <c r="AT125" s="139"/>
      <c r="AU125" s="140"/>
      <c r="AV125" s="140"/>
      <c r="AW125" s="140"/>
      <c r="AX125" s="140"/>
      <c r="AY125" s="140"/>
      <c r="AZ125" s="140"/>
      <c r="BA125" s="140"/>
      <c r="BB125" s="140"/>
      <c r="BC125" s="140"/>
      <c r="BD125" s="140"/>
      <c r="BE125" s="140"/>
      <c r="BF125" s="140"/>
      <c r="BG125" s="140"/>
      <c r="BH125" s="140"/>
      <c r="BI125" s="140"/>
      <c r="BJ125" s="140"/>
      <c r="BK125" s="140"/>
      <c r="BL125" s="140"/>
      <c r="BM125" s="140"/>
      <c r="BN125" s="140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</row>
    <row r="126" spans="1:200" ht="15" customHeight="1" x14ac:dyDescent="0.2">
      <c r="A126" s="18"/>
      <c r="B126" s="18" t="str">
        <f t="shared" si="3"/>
        <v>[ROW:NOV_2025]</v>
      </c>
      <c r="C126" s="29">
        <f>IF(OR(Client_Info!$D$14="",Client_Info!$D$15=""),"",IF(EOMONTH(Client_Info!$D$14,118)&lt;=Client_Info!$D$15,EOMONTH(Client_Info!$D$14,118),""))</f>
        <v>45991</v>
      </c>
      <c r="D126" s="138"/>
      <c r="E126" s="138"/>
      <c r="F126" s="138"/>
      <c r="G126" s="143">
        <v>6.22</v>
      </c>
      <c r="H126" s="143">
        <v>0.19</v>
      </c>
      <c r="I126" s="143">
        <v>1.03</v>
      </c>
      <c r="J126" s="143">
        <v>1.45</v>
      </c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8"/>
      <c r="AA126" s="143">
        <v>6.22</v>
      </c>
      <c r="AB126" s="143">
        <v>1.45</v>
      </c>
      <c r="AC126" s="138"/>
      <c r="AD126" s="138"/>
      <c r="AE126" s="138"/>
      <c r="AF126" s="138"/>
      <c r="AG126" s="138"/>
      <c r="AH126" s="138"/>
      <c r="AI126" s="138"/>
      <c r="AJ126" s="138"/>
      <c r="AK126" s="138"/>
      <c r="AL126" s="138"/>
      <c r="AM126" s="138"/>
      <c r="AN126" s="138"/>
      <c r="AO126" s="138"/>
      <c r="AP126" s="138"/>
      <c r="AQ126" s="138"/>
      <c r="AR126" s="138"/>
      <c r="AS126" s="138"/>
      <c r="AT126" s="139"/>
      <c r="AU126" s="140"/>
      <c r="AV126" s="140"/>
      <c r="AW126" s="140"/>
      <c r="AX126" s="140"/>
      <c r="AY126" s="140"/>
      <c r="AZ126" s="140"/>
      <c r="BA126" s="140"/>
      <c r="BB126" s="140"/>
      <c r="BC126" s="140"/>
      <c r="BD126" s="140"/>
      <c r="BE126" s="140"/>
      <c r="BF126" s="140"/>
      <c r="BG126" s="140"/>
      <c r="BH126" s="140"/>
      <c r="BI126" s="140"/>
      <c r="BJ126" s="140"/>
      <c r="BK126" s="140"/>
      <c r="BL126" s="140"/>
      <c r="BM126" s="140"/>
      <c r="BN126" s="140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</row>
    <row r="127" spans="1:200" ht="15" customHeight="1" x14ac:dyDescent="0.2">
      <c r="A127" s="18"/>
      <c r="B127" s="18" t="str">
        <f t="shared" si="3"/>
        <v>[ROW:DEC_2025]</v>
      </c>
      <c r="C127" s="29">
        <f>IF(OR(Client_Info!$D$14="",Client_Info!$D$15=""),"",IF(EOMONTH(Client_Info!$D$14,119)&lt;=Client_Info!$D$15,EOMONTH(Client_Info!$D$14,119),""))</f>
        <v>46022</v>
      </c>
      <c r="D127" s="138"/>
      <c r="E127" s="138"/>
      <c r="F127" s="138"/>
      <c r="G127" s="143">
        <v>2.54</v>
      </c>
      <c r="H127" s="143">
        <v>0.23</v>
      </c>
      <c r="I127" s="143">
        <v>1.4</v>
      </c>
      <c r="J127" s="143">
        <v>0.23</v>
      </c>
      <c r="K127" s="138"/>
      <c r="L127" s="138"/>
      <c r="M127" s="138"/>
      <c r="N127" s="138"/>
      <c r="O127" s="138"/>
      <c r="P127" s="138"/>
      <c r="Q127" s="138"/>
      <c r="R127" s="138"/>
      <c r="S127" s="138"/>
      <c r="T127" s="138"/>
      <c r="U127" s="138"/>
      <c r="V127" s="138"/>
      <c r="W127" s="138"/>
      <c r="X127" s="138"/>
      <c r="Y127" s="138"/>
      <c r="Z127" s="138"/>
      <c r="AA127" s="143">
        <v>2.54</v>
      </c>
      <c r="AB127" s="143">
        <v>0.23</v>
      </c>
      <c r="AC127" s="138"/>
      <c r="AD127" s="138"/>
      <c r="AE127" s="138"/>
      <c r="AF127" s="138"/>
      <c r="AG127" s="138"/>
      <c r="AH127" s="138"/>
      <c r="AI127" s="138"/>
      <c r="AJ127" s="138"/>
      <c r="AK127" s="138"/>
      <c r="AL127" s="138"/>
      <c r="AM127" s="138"/>
      <c r="AN127" s="138"/>
      <c r="AO127" s="138"/>
      <c r="AP127" s="138"/>
      <c r="AQ127" s="138"/>
      <c r="AR127" s="138"/>
      <c r="AS127" s="138"/>
      <c r="AT127" s="139"/>
      <c r="AU127" s="140"/>
      <c r="AV127" s="140"/>
      <c r="AW127" s="140"/>
      <c r="AX127" s="140"/>
      <c r="AY127" s="140"/>
      <c r="AZ127" s="140"/>
      <c r="BA127" s="140"/>
      <c r="BB127" s="140"/>
      <c r="BC127" s="140"/>
      <c r="BD127" s="140"/>
      <c r="BE127" s="140"/>
      <c r="BF127" s="140"/>
      <c r="BG127" s="140"/>
      <c r="BH127" s="140"/>
      <c r="BI127" s="140"/>
      <c r="BJ127" s="140"/>
      <c r="BK127" s="140"/>
      <c r="BL127" s="140"/>
      <c r="BM127" s="140"/>
      <c r="BN127" s="140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</row>
    <row r="128" spans="1:200" ht="15" customHeight="1" x14ac:dyDescent="0.2">
      <c r="A128" s="18"/>
      <c r="B128" s="18" t="str">
        <f t="shared" si="3"/>
        <v/>
      </c>
      <c r="C128" s="29" t="str">
        <f>IF(OR(Client_Info!$D$14="",Client_Info!$D$15=""),"",IF(EOMONTH(Client_Info!$D$14,120)&lt;=Client_Info!$D$15,EOMONTH(Client_Info!$D$14,120),""))</f>
        <v/>
      </c>
      <c r="D128" s="138"/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9"/>
      <c r="AU128" s="140"/>
      <c r="AV128" s="140"/>
      <c r="AW128" s="140"/>
      <c r="AX128" s="140"/>
      <c r="AY128" s="140"/>
      <c r="AZ128" s="140"/>
      <c r="BA128" s="140"/>
      <c r="BB128" s="140"/>
      <c r="BC128" s="140"/>
      <c r="BD128" s="140"/>
      <c r="BE128" s="140"/>
      <c r="BF128" s="140"/>
      <c r="BG128" s="140"/>
      <c r="BH128" s="140"/>
      <c r="BI128" s="140"/>
      <c r="BJ128" s="140"/>
      <c r="BK128" s="140"/>
      <c r="BL128" s="140"/>
      <c r="BM128" s="140"/>
      <c r="BN128" s="140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</row>
    <row r="129" spans="1:200" ht="15" customHeight="1" x14ac:dyDescent="0.2">
      <c r="A129" s="18"/>
      <c r="B129" s="18" t="str">
        <f t="shared" si="3"/>
        <v/>
      </c>
      <c r="C129" s="29" t="str">
        <f>IF(OR(Client_Info!$D$14="",Client_Info!$D$15=""),"",IF(EOMONTH(Client_Info!$D$14,121)&lt;=Client_Info!$D$15,EOMONTH(Client_Info!$D$14,121),""))</f>
        <v/>
      </c>
      <c r="D129" s="138"/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9"/>
      <c r="AU129" s="140"/>
      <c r="AV129" s="140"/>
      <c r="AW129" s="140"/>
      <c r="AX129" s="140"/>
      <c r="AY129" s="140"/>
      <c r="AZ129" s="140"/>
      <c r="BA129" s="140"/>
      <c r="BB129" s="140"/>
      <c r="BC129" s="140"/>
      <c r="BD129" s="140"/>
      <c r="BE129" s="140"/>
      <c r="BF129" s="140"/>
      <c r="BG129" s="140"/>
      <c r="BH129" s="140"/>
      <c r="BI129" s="140"/>
      <c r="BJ129" s="140"/>
      <c r="BK129" s="140"/>
      <c r="BL129" s="140"/>
      <c r="BM129" s="140"/>
      <c r="BN129" s="140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</row>
    <row r="130" spans="1:200" ht="15" customHeight="1" x14ac:dyDescent="0.2">
      <c r="A130" s="18"/>
      <c r="B130" s="18" t="str">
        <f t="shared" si="3"/>
        <v/>
      </c>
      <c r="C130" s="29" t="str">
        <f>IF(OR(Client_Info!$D$14="",Client_Info!$D$15=""),"",IF(EOMONTH(Client_Info!$D$14,122)&lt;=Client_Info!$D$15,EOMONTH(Client_Info!$D$14,122),""))</f>
        <v/>
      </c>
      <c r="D130" s="138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9"/>
      <c r="AU130" s="140"/>
      <c r="AV130" s="140"/>
      <c r="AW130" s="140"/>
      <c r="AX130" s="140"/>
      <c r="AY130" s="140"/>
      <c r="AZ130" s="140"/>
      <c r="BA130" s="140"/>
      <c r="BB130" s="140"/>
      <c r="BC130" s="140"/>
      <c r="BD130" s="140"/>
      <c r="BE130" s="140"/>
      <c r="BF130" s="140"/>
      <c r="BG130" s="140"/>
      <c r="BH130" s="140"/>
      <c r="BI130" s="140"/>
      <c r="BJ130" s="140"/>
      <c r="BK130" s="140"/>
      <c r="BL130" s="140"/>
      <c r="BM130" s="140"/>
      <c r="BN130" s="140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</row>
    <row r="131" spans="1:200" ht="15" customHeight="1" x14ac:dyDescent="0.2">
      <c r="A131" s="18"/>
      <c r="B131" s="18" t="str">
        <f t="shared" si="3"/>
        <v/>
      </c>
      <c r="C131" s="29" t="str">
        <f>IF(OR(Client_Info!$D$14="",Client_Info!$D$15=""),"",IF(EOMONTH(Client_Info!$D$14,123)&lt;=Client_Info!$D$15,EOMONTH(Client_Info!$D$14,123),""))</f>
        <v/>
      </c>
      <c r="D131" s="138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9"/>
      <c r="AU131" s="140"/>
      <c r="AV131" s="140"/>
      <c r="AW131" s="140"/>
      <c r="AX131" s="140"/>
      <c r="AY131" s="140"/>
      <c r="AZ131" s="140"/>
      <c r="BA131" s="140"/>
      <c r="BB131" s="140"/>
      <c r="BC131" s="140"/>
      <c r="BD131" s="140"/>
      <c r="BE131" s="140"/>
      <c r="BF131" s="140"/>
      <c r="BG131" s="140"/>
      <c r="BH131" s="140"/>
      <c r="BI131" s="140"/>
      <c r="BJ131" s="140"/>
      <c r="BK131" s="140"/>
      <c r="BL131" s="140"/>
      <c r="BM131" s="140"/>
      <c r="BN131" s="140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</row>
    <row r="132" spans="1:200" ht="15" customHeight="1" x14ac:dyDescent="0.2">
      <c r="A132" s="18"/>
      <c r="B132" s="18" t="str">
        <f t="shared" si="3"/>
        <v/>
      </c>
      <c r="C132" s="29" t="str">
        <f>IF(OR(Client_Info!$D$14="",Client_Info!$D$15=""),"",IF(EOMONTH(Client_Info!$D$14,124)&lt;=Client_Info!$D$15,EOMONTH(Client_Info!$D$14,124),""))</f>
        <v/>
      </c>
      <c r="D132" s="138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9"/>
      <c r="AU132" s="140"/>
      <c r="AV132" s="140"/>
      <c r="AW132" s="140"/>
      <c r="AX132" s="140"/>
      <c r="AY132" s="140"/>
      <c r="AZ132" s="140"/>
      <c r="BA132" s="140"/>
      <c r="BB132" s="140"/>
      <c r="BC132" s="140"/>
      <c r="BD132" s="140"/>
      <c r="BE132" s="140"/>
      <c r="BF132" s="140"/>
      <c r="BG132" s="140"/>
      <c r="BH132" s="140"/>
      <c r="BI132" s="140"/>
      <c r="BJ132" s="140"/>
      <c r="BK132" s="140"/>
      <c r="BL132" s="140"/>
      <c r="BM132" s="140"/>
      <c r="BN132" s="140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</row>
    <row r="133" spans="1:200" ht="15" customHeight="1" x14ac:dyDescent="0.2">
      <c r="A133" s="18"/>
      <c r="B133" s="18" t="str">
        <f t="shared" si="3"/>
        <v/>
      </c>
      <c r="C133" s="29" t="str">
        <f>IF(OR(Client_Info!$D$14="",Client_Info!$D$15=""),"",IF(EOMONTH(Client_Info!$D$14,125)&lt;=Client_Info!$D$15,EOMONTH(Client_Info!$D$14,125),""))</f>
        <v/>
      </c>
      <c r="D133" s="138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9"/>
      <c r="AU133" s="140"/>
      <c r="AV133" s="140"/>
      <c r="AW133" s="140"/>
      <c r="AX133" s="140"/>
      <c r="AY133" s="140"/>
      <c r="AZ133" s="140"/>
      <c r="BA133" s="140"/>
      <c r="BB133" s="140"/>
      <c r="BC133" s="140"/>
      <c r="BD133" s="140"/>
      <c r="BE133" s="140"/>
      <c r="BF133" s="140"/>
      <c r="BG133" s="140"/>
      <c r="BH133" s="140"/>
      <c r="BI133" s="140"/>
      <c r="BJ133" s="140"/>
      <c r="BK133" s="140"/>
      <c r="BL133" s="140"/>
      <c r="BM133" s="140"/>
      <c r="BN133" s="140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</row>
    <row r="134" spans="1:200" ht="15" customHeight="1" x14ac:dyDescent="0.2">
      <c r="A134" s="18"/>
      <c r="B134" s="18" t="str">
        <f t="shared" si="3"/>
        <v/>
      </c>
      <c r="C134" s="29" t="str">
        <f>IF(OR(Client_Info!$D$14="",Client_Info!$D$15=""),"",IF(EOMONTH(Client_Info!$D$14,126)&lt;=Client_Info!$D$15,EOMONTH(Client_Info!$D$14,126),""))</f>
        <v/>
      </c>
      <c r="D134" s="138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9"/>
      <c r="AU134" s="140"/>
      <c r="AV134" s="140"/>
      <c r="AW134" s="140"/>
      <c r="AX134" s="140"/>
      <c r="AY134" s="140"/>
      <c r="AZ134" s="140"/>
      <c r="BA134" s="140"/>
      <c r="BB134" s="140"/>
      <c r="BC134" s="140"/>
      <c r="BD134" s="140"/>
      <c r="BE134" s="140"/>
      <c r="BF134" s="140"/>
      <c r="BG134" s="140"/>
      <c r="BH134" s="140"/>
      <c r="BI134" s="140"/>
      <c r="BJ134" s="140"/>
      <c r="BK134" s="140"/>
      <c r="BL134" s="140"/>
      <c r="BM134" s="140"/>
      <c r="BN134" s="140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</row>
    <row r="135" spans="1:200" ht="15" customHeight="1" x14ac:dyDescent="0.2">
      <c r="A135" s="18"/>
      <c r="B135" s="18" t="str">
        <f t="shared" si="3"/>
        <v/>
      </c>
      <c r="C135" s="29" t="str">
        <f>IF(OR(Client_Info!$D$14="",Client_Info!$D$15=""),"",IF(EOMONTH(Client_Info!$D$14,127)&lt;=Client_Info!$D$15,EOMONTH(Client_Info!$D$14,127),""))</f>
        <v/>
      </c>
      <c r="D135" s="138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9"/>
      <c r="AU135" s="140"/>
      <c r="AV135" s="140"/>
      <c r="AW135" s="140"/>
      <c r="AX135" s="140"/>
      <c r="AY135" s="140"/>
      <c r="AZ135" s="140"/>
      <c r="BA135" s="140"/>
      <c r="BB135" s="140"/>
      <c r="BC135" s="140"/>
      <c r="BD135" s="140"/>
      <c r="BE135" s="140"/>
      <c r="BF135" s="140"/>
      <c r="BG135" s="140"/>
      <c r="BH135" s="140"/>
      <c r="BI135" s="140"/>
      <c r="BJ135" s="140"/>
      <c r="BK135" s="140"/>
      <c r="BL135" s="140"/>
      <c r="BM135" s="140"/>
      <c r="BN135" s="140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</row>
    <row r="136" spans="1:200" ht="15" customHeight="1" x14ac:dyDescent="0.2">
      <c r="A136" s="18"/>
      <c r="B136" s="18" t="str">
        <f t="shared" ref="B136:B167" si="4">IF(C136="","","[ROW:"&amp;UPPER(TEXT(C136,"MMM"))&amp;"_"&amp;TEXT(C136,"YYYY")&amp;"]")</f>
        <v/>
      </c>
      <c r="C136" s="29" t="str">
        <f>IF(OR(Client_Info!$D$14="",Client_Info!$D$15=""),"",IF(EOMONTH(Client_Info!$D$14,128)&lt;=Client_Info!$D$15,EOMONTH(Client_Info!$D$14,128),""))</f>
        <v/>
      </c>
      <c r="D136" s="138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9"/>
      <c r="AU136" s="140"/>
      <c r="AV136" s="140"/>
      <c r="AW136" s="140"/>
      <c r="AX136" s="140"/>
      <c r="AY136" s="140"/>
      <c r="AZ136" s="140"/>
      <c r="BA136" s="140"/>
      <c r="BB136" s="140"/>
      <c r="BC136" s="140"/>
      <c r="BD136" s="140"/>
      <c r="BE136" s="140"/>
      <c r="BF136" s="140"/>
      <c r="BG136" s="140"/>
      <c r="BH136" s="140"/>
      <c r="BI136" s="140"/>
      <c r="BJ136" s="140"/>
      <c r="BK136" s="140"/>
      <c r="BL136" s="140"/>
      <c r="BM136" s="140"/>
      <c r="BN136" s="140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</row>
    <row r="137" spans="1:200" ht="15" customHeight="1" x14ac:dyDescent="0.2">
      <c r="A137" s="18"/>
      <c r="B137" s="18" t="str">
        <f t="shared" si="4"/>
        <v/>
      </c>
      <c r="C137" s="29" t="str">
        <f>IF(OR(Client_Info!$D$14="",Client_Info!$D$15=""),"",IF(EOMONTH(Client_Info!$D$14,129)&lt;=Client_Info!$D$15,EOMONTH(Client_Info!$D$14,129),""))</f>
        <v/>
      </c>
      <c r="D137" s="138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9"/>
      <c r="AU137" s="140"/>
      <c r="AV137" s="140"/>
      <c r="AW137" s="140"/>
      <c r="AX137" s="140"/>
      <c r="AY137" s="140"/>
      <c r="AZ137" s="140"/>
      <c r="BA137" s="140"/>
      <c r="BB137" s="140"/>
      <c r="BC137" s="140"/>
      <c r="BD137" s="140"/>
      <c r="BE137" s="140"/>
      <c r="BF137" s="140"/>
      <c r="BG137" s="140"/>
      <c r="BH137" s="140"/>
      <c r="BI137" s="140"/>
      <c r="BJ137" s="140"/>
      <c r="BK137" s="140"/>
      <c r="BL137" s="140"/>
      <c r="BM137" s="140"/>
      <c r="BN137" s="140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</row>
    <row r="138" spans="1:200" ht="15" customHeight="1" x14ac:dyDescent="0.2">
      <c r="A138" s="18"/>
      <c r="B138" s="18" t="str">
        <f t="shared" si="4"/>
        <v/>
      </c>
      <c r="C138" s="29" t="str">
        <f>IF(OR(Client_Info!$D$14="",Client_Info!$D$15=""),"",IF(EOMONTH(Client_Info!$D$14,130)&lt;=Client_Info!$D$15,EOMONTH(Client_Info!$D$14,130),""))</f>
        <v/>
      </c>
      <c r="D138" s="138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9"/>
      <c r="AU138" s="140"/>
      <c r="AV138" s="140"/>
      <c r="AW138" s="140"/>
      <c r="AX138" s="140"/>
      <c r="AY138" s="140"/>
      <c r="AZ138" s="140"/>
      <c r="BA138" s="140"/>
      <c r="BB138" s="140"/>
      <c r="BC138" s="140"/>
      <c r="BD138" s="140"/>
      <c r="BE138" s="140"/>
      <c r="BF138" s="140"/>
      <c r="BG138" s="140"/>
      <c r="BH138" s="140"/>
      <c r="BI138" s="140"/>
      <c r="BJ138" s="140"/>
      <c r="BK138" s="140"/>
      <c r="BL138" s="140"/>
      <c r="BM138" s="140"/>
      <c r="BN138" s="140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</row>
    <row r="139" spans="1:200" ht="15" customHeight="1" x14ac:dyDescent="0.2">
      <c r="A139" s="18"/>
      <c r="B139" s="18" t="str">
        <f t="shared" si="4"/>
        <v/>
      </c>
      <c r="C139" s="29" t="str">
        <f>IF(OR(Client_Info!$D$14="",Client_Info!$D$15=""),"",IF(EOMONTH(Client_Info!$D$14,131)&lt;=Client_Info!$D$15,EOMONTH(Client_Info!$D$14,131),""))</f>
        <v/>
      </c>
      <c r="D139" s="138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9"/>
      <c r="AU139" s="140"/>
      <c r="AV139" s="140"/>
      <c r="AW139" s="140"/>
      <c r="AX139" s="140"/>
      <c r="AY139" s="140"/>
      <c r="AZ139" s="140"/>
      <c r="BA139" s="140"/>
      <c r="BB139" s="140"/>
      <c r="BC139" s="140"/>
      <c r="BD139" s="140"/>
      <c r="BE139" s="140"/>
      <c r="BF139" s="140"/>
      <c r="BG139" s="140"/>
      <c r="BH139" s="140"/>
      <c r="BI139" s="140"/>
      <c r="BJ139" s="140"/>
      <c r="BK139" s="140"/>
      <c r="BL139" s="140"/>
      <c r="BM139" s="140"/>
      <c r="BN139" s="140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</row>
    <row r="140" spans="1:200" ht="15" customHeight="1" x14ac:dyDescent="0.2">
      <c r="A140" s="18"/>
      <c r="B140" s="18" t="str">
        <f t="shared" si="4"/>
        <v/>
      </c>
      <c r="C140" s="29" t="str">
        <f>IF(OR(Client_Info!$D$14="",Client_Info!$D$15=""),"",IF(EOMONTH(Client_Info!$D$14,132)&lt;=Client_Info!$D$15,EOMONTH(Client_Info!$D$14,132),""))</f>
        <v/>
      </c>
      <c r="D140" s="138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9"/>
      <c r="AU140" s="140"/>
      <c r="AV140" s="140"/>
      <c r="AW140" s="140"/>
      <c r="AX140" s="140"/>
      <c r="AY140" s="140"/>
      <c r="AZ140" s="140"/>
      <c r="BA140" s="140"/>
      <c r="BB140" s="140"/>
      <c r="BC140" s="140"/>
      <c r="BD140" s="140"/>
      <c r="BE140" s="140"/>
      <c r="BF140" s="140"/>
      <c r="BG140" s="140"/>
      <c r="BH140" s="140"/>
      <c r="BI140" s="140"/>
      <c r="BJ140" s="140"/>
      <c r="BK140" s="140"/>
      <c r="BL140" s="140"/>
      <c r="BM140" s="140"/>
      <c r="BN140" s="140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</row>
    <row r="141" spans="1:200" ht="15" customHeight="1" x14ac:dyDescent="0.2">
      <c r="A141" s="18"/>
      <c r="B141" s="18" t="str">
        <f t="shared" si="4"/>
        <v/>
      </c>
      <c r="C141" s="29" t="str">
        <f>IF(OR(Client_Info!$D$14="",Client_Info!$D$15=""),"",IF(EOMONTH(Client_Info!$D$14,133)&lt;=Client_Info!$D$15,EOMONTH(Client_Info!$D$14,133),""))</f>
        <v/>
      </c>
      <c r="D141" s="138"/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9"/>
      <c r="AU141" s="140"/>
      <c r="AV141" s="140"/>
      <c r="AW141" s="140"/>
      <c r="AX141" s="140"/>
      <c r="AY141" s="140"/>
      <c r="AZ141" s="140"/>
      <c r="BA141" s="140"/>
      <c r="BB141" s="140"/>
      <c r="BC141" s="140"/>
      <c r="BD141" s="140"/>
      <c r="BE141" s="140"/>
      <c r="BF141" s="140"/>
      <c r="BG141" s="140"/>
      <c r="BH141" s="140"/>
      <c r="BI141" s="140"/>
      <c r="BJ141" s="140"/>
      <c r="BK141" s="140"/>
      <c r="BL141" s="140"/>
      <c r="BM141" s="140"/>
      <c r="BN141" s="140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</row>
    <row r="142" spans="1:200" ht="15" customHeight="1" x14ac:dyDescent="0.2">
      <c r="A142" s="18"/>
      <c r="B142" s="18" t="str">
        <f t="shared" si="4"/>
        <v/>
      </c>
      <c r="C142" s="29" t="str">
        <f>IF(OR(Client_Info!$D$14="",Client_Info!$D$15=""),"",IF(EOMONTH(Client_Info!$D$14,134)&lt;=Client_Info!$D$15,EOMONTH(Client_Info!$D$14,134),""))</f>
        <v/>
      </c>
      <c r="D142" s="138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9"/>
      <c r="AU142" s="140"/>
      <c r="AV142" s="140"/>
      <c r="AW142" s="140"/>
      <c r="AX142" s="140"/>
      <c r="AY142" s="140"/>
      <c r="AZ142" s="140"/>
      <c r="BA142" s="140"/>
      <c r="BB142" s="140"/>
      <c r="BC142" s="140"/>
      <c r="BD142" s="140"/>
      <c r="BE142" s="140"/>
      <c r="BF142" s="140"/>
      <c r="BG142" s="140"/>
      <c r="BH142" s="140"/>
      <c r="BI142" s="140"/>
      <c r="BJ142" s="140"/>
      <c r="BK142" s="140"/>
      <c r="BL142" s="140"/>
      <c r="BM142" s="140"/>
      <c r="BN142" s="140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</row>
    <row r="143" spans="1:200" ht="15" customHeight="1" x14ac:dyDescent="0.2">
      <c r="A143" s="18"/>
      <c r="B143" s="18" t="str">
        <f t="shared" si="4"/>
        <v/>
      </c>
      <c r="C143" s="29" t="str">
        <f>IF(OR(Client_Info!$D$14="",Client_Info!$D$15=""),"",IF(EOMONTH(Client_Info!$D$14,135)&lt;=Client_Info!$D$15,EOMONTH(Client_Info!$D$14,135),""))</f>
        <v/>
      </c>
      <c r="D143" s="138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9"/>
      <c r="AU143" s="140"/>
      <c r="AV143" s="140"/>
      <c r="AW143" s="140"/>
      <c r="AX143" s="140"/>
      <c r="AY143" s="140"/>
      <c r="AZ143" s="140"/>
      <c r="BA143" s="140"/>
      <c r="BB143" s="140"/>
      <c r="BC143" s="140"/>
      <c r="BD143" s="140"/>
      <c r="BE143" s="140"/>
      <c r="BF143" s="140"/>
      <c r="BG143" s="140"/>
      <c r="BH143" s="140"/>
      <c r="BI143" s="140"/>
      <c r="BJ143" s="140"/>
      <c r="BK143" s="140"/>
      <c r="BL143" s="140"/>
      <c r="BM143" s="140"/>
      <c r="BN143" s="140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</row>
    <row r="144" spans="1:200" ht="15" customHeight="1" x14ac:dyDescent="0.2">
      <c r="A144" s="18"/>
      <c r="B144" s="18" t="str">
        <f t="shared" si="4"/>
        <v/>
      </c>
      <c r="C144" s="29" t="str">
        <f>IF(OR(Client_Info!$D$14="",Client_Info!$D$15=""),"",IF(EOMONTH(Client_Info!$D$14,136)&lt;=Client_Info!$D$15,EOMONTH(Client_Info!$D$14,136),""))</f>
        <v/>
      </c>
      <c r="D144" s="138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9"/>
      <c r="AU144" s="140"/>
      <c r="AV144" s="140"/>
      <c r="AW144" s="140"/>
      <c r="AX144" s="140"/>
      <c r="AY144" s="140"/>
      <c r="AZ144" s="140"/>
      <c r="BA144" s="140"/>
      <c r="BB144" s="140"/>
      <c r="BC144" s="140"/>
      <c r="BD144" s="140"/>
      <c r="BE144" s="140"/>
      <c r="BF144" s="140"/>
      <c r="BG144" s="140"/>
      <c r="BH144" s="140"/>
      <c r="BI144" s="140"/>
      <c r="BJ144" s="140"/>
      <c r="BK144" s="140"/>
      <c r="BL144" s="140"/>
      <c r="BM144" s="140"/>
      <c r="BN144" s="140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</row>
    <row r="145" spans="1:200" ht="15" customHeight="1" x14ac:dyDescent="0.2">
      <c r="A145" s="18"/>
      <c r="B145" s="18" t="str">
        <f t="shared" si="4"/>
        <v/>
      </c>
      <c r="C145" s="29" t="str">
        <f>IF(OR(Client_Info!$D$14="",Client_Info!$D$15=""),"",IF(EOMONTH(Client_Info!$D$14,137)&lt;=Client_Info!$D$15,EOMONTH(Client_Info!$D$14,137),""))</f>
        <v/>
      </c>
      <c r="D145" s="138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9"/>
      <c r="AU145" s="140"/>
      <c r="AV145" s="140"/>
      <c r="AW145" s="140"/>
      <c r="AX145" s="140"/>
      <c r="AY145" s="140"/>
      <c r="AZ145" s="140"/>
      <c r="BA145" s="140"/>
      <c r="BB145" s="140"/>
      <c r="BC145" s="140"/>
      <c r="BD145" s="140"/>
      <c r="BE145" s="140"/>
      <c r="BF145" s="140"/>
      <c r="BG145" s="140"/>
      <c r="BH145" s="140"/>
      <c r="BI145" s="140"/>
      <c r="BJ145" s="140"/>
      <c r="BK145" s="140"/>
      <c r="BL145" s="140"/>
      <c r="BM145" s="140"/>
      <c r="BN145" s="140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</row>
    <row r="146" spans="1:200" ht="15" customHeight="1" x14ac:dyDescent="0.2">
      <c r="A146" s="18"/>
      <c r="B146" s="18" t="str">
        <f t="shared" si="4"/>
        <v/>
      </c>
      <c r="C146" s="29" t="str">
        <f>IF(OR(Client_Info!$D$14="",Client_Info!$D$15=""),"",IF(EOMONTH(Client_Info!$D$14,138)&lt;=Client_Info!$D$15,EOMONTH(Client_Info!$D$14,138),""))</f>
        <v/>
      </c>
      <c r="D146" s="138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9"/>
      <c r="AU146" s="140"/>
      <c r="AV146" s="140"/>
      <c r="AW146" s="140"/>
      <c r="AX146" s="140"/>
      <c r="AY146" s="140"/>
      <c r="AZ146" s="140"/>
      <c r="BA146" s="140"/>
      <c r="BB146" s="140"/>
      <c r="BC146" s="140"/>
      <c r="BD146" s="140"/>
      <c r="BE146" s="140"/>
      <c r="BF146" s="140"/>
      <c r="BG146" s="140"/>
      <c r="BH146" s="140"/>
      <c r="BI146" s="140"/>
      <c r="BJ146" s="140"/>
      <c r="BK146" s="140"/>
      <c r="BL146" s="140"/>
      <c r="BM146" s="140"/>
      <c r="BN146" s="140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</row>
    <row r="147" spans="1:200" ht="15" customHeight="1" x14ac:dyDescent="0.2">
      <c r="A147" s="18"/>
      <c r="B147" s="18" t="str">
        <f t="shared" si="4"/>
        <v/>
      </c>
      <c r="C147" s="29" t="str">
        <f>IF(OR(Client_Info!$D$14="",Client_Info!$D$15=""),"",IF(EOMONTH(Client_Info!$D$14,139)&lt;=Client_Info!$D$15,EOMONTH(Client_Info!$D$14,139),""))</f>
        <v/>
      </c>
      <c r="D147" s="138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9"/>
      <c r="AU147" s="140"/>
      <c r="AV147" s="140"/>
      <c r="AW147" s="140"/>
      <c r="AX147" s="140"/>
      <c r="AY147" s="140"/>
      <c r="AZ147" s="140"/>
      <c r="BA147" s="140"/>
      <c r="BB147" s="140"/>
      <c r="BC147" s="140"/>
      <c r="BD147" s="140"/>
      <c r="BE147" s="140"/>
      <c r="BF147" s="140"/>
      <c r="BG147" s="140"/>
      <c r="BH147" s="140"/>
      <c r="BI147" s="140"/>
      <c r="BJ147" s="140"/>
      <c r="BK147" s="140"/>
      <c r="BL147" s="140"/>
      <c r="BM147" s="140"/>
      <c r="BN147" s="140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</row>
    <row r="148" spans="1:200" ht="15" customHeight="1" x14ac:dyDescent="0.2">
      <c r="A148" s="18"/>
      <c r="B148" s="18" t="str">
        <f t="shared" si="4"/>
        <v/>
      </c>
      <c r="C148" s="29" t="str">
        <f>IF(OR(Client_Info!$D$14="",Client_Info!$D$15=""),"",IF(EOMONTH(Client_Info!$D$14,140)&lt;=Client_Info!$D$15,EOMONTH(Client_Info!$D$14,140),""))</f>
        <v/>
      </c>
      <c r="D148" s="138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9"/>
      <c r="AU148" s="140"/>
      <c r="AV148" s="140"/>
      <c r="AW148" s="140"/>
      <c r="AX148" s="140"/>
      <c r="AY148" s="140"/>
      <c r="AZ148" s="140"/>
      <c r="BA148" s="140"/>
      <c r="BB148" s="140"/>
      <c r="BC148" s="140"/>
      <c r="BD148" s="140"/>
      <c r="BE148" s="140"/>
      <c r="BF148" s="140"/>
      <c r="BG148" s="140"/>
      <c r="BH148" s="140"/>
      <c r="BI148" s="140"/>
      <c r="BJ148" s="140"/>
      <c r="BK148" s="140"/>
      <c r="BL148" s="140"/>
      <c r="BM148" s="140"/>
      <c r="BN148" s="140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</row>
    <row r="149" spans="1:200" ht="15" customHeight="1" x14ac:dyDescent="0.2">
      <c r="A149" s="18"/>
      <c r="B149" s="18" t="str">
        <f t="shared" si="4"/>
        <v/>
      </c>
      <c r="C149" s="29" t="str">
        <f>IF(OR(Client_Info!$D$14="",Client_Info!$D$15=""),"",IF(EOMONTH(Client_Info!$D$14,141)&lt;=Client_Info!$D$15,EOMONTH(Client_Info!$D$14,141),""))</f>
        <v/>
      </c>
      <c r="D149" s="138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9"/>
      <c r="AU149" s="140"/>
      <c r="AV149" s="140"/>
      <c r="AW149" s="140"/>
      <c r="AX149" s="140"/>
      <c r="AY149" s="140"/>
      <c r="AZ149" s="140"/>
      <c r="BA149" s="140"/>
      <c r="BB149" s="140"/>
      <c r="BC149" s="140"/>
      <c r="BD149" s="140"/>
      <c r="BE149" s="140"/>
      <c r="BF149" s="140"/>
      <c r="BG149" s="140"/>
      <c r="BH149" s="140"/>
      <c r="BI149" s="140"/>
      <c r="BJ149" s="140"/>
      <c r="BK149" s="140"/>
      <c r="BL149" s="140"/>
      <c r="BM149" s="140"/>
      <c r="BN149" s="140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</row>
    <row r="150" spans="1:200" ht="15" customHeight="1" x14ac:dyDescent="0.2">
      <c r="A150" s="18"/>
      <c r="B150" s="18" t="str">
        <f t="shared" si="4"/>
        <v/>
      </c>
      <c r="C150" s="29" t="str">
        <f>IF(OR(Client_Info!$D$14="",Client_Info!$D$15=""),"",IF(EOMONTH(Client_Info!$D$14,142)&lt;=Client_Info!$D$15,EOMONTH(Client_Info!$D$14,142),""))</f>
        <v/>
      </c>
      <c r="D150" s="138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9"/>
      <c r="AU150" s="140"/>
      <c r="AV150" s="140"/>
      <c r="AW150" s="140"/>
      <c r="AX150" s="140"/>
      <c r="AY150" s="140"/>
      <c r="AZ150" s="140"/>
      <c r="BA150" s="140"/>
      <c r="BB150" s="140"/>
      <c r="BC150" s="140"/>
      <c r="BD150" s="140"/>
      <c r="BE150" s="140"/>
      <c r="BF150" s="140"/>
      <c r="BG150" s="140"/>
      <c r="BH150" s="140"/>
      <c r="BI150" s="140"/>
      <c r="BJ150" s="140"/>
      <c r="BK150" s="140"/>
      <c r="BL150" s="140"/>
      <c r="BM150" s="140"/>
      <c r="BN150" s="140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</row>
    <row r="151" spans="1:200" ht="15" customHeight="1" x14ac:dyDescent="0.2">
      <c r="A151" s="18"/>
      <c r="B151" s="18" t="str">
        <f t="shared" si="4"/>
        <v/>
      </c>
      <c r="C151" s="29" t="str">
        <f>IF(OR(Client_Info!$D$14="",Client_Info!$D$15=""),"",IF(EOMONTH(Client_Info!$D$14,143)&lt;=Client_Info!$D$15,EOMONTH(Client_Info!$D$14,143),""))</f>
        <v/>
      </c>
      <c r="D151" s="138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9"/>
      <c r="AU151" s="140"/>
      <c r="AV151" s="140"/>
      <c r="AW151" s="140"/>
      <c r="AX151" s="140"/>
      <c r="AY151" s="140"/>
      <c r="AZ151" s="140"/>
      <c r="BA151" s="140"/>
      <c r="BB151" s="140"/>
      <c r="BC151" s="140"/>
      <c r="BD151" s="140"/>
      <c r="BE151" s="140"/>
      <c r="BF151" s="140"/>
      <c r="BG151" s="140"/>
      <c r="BH151" s="140"/>
      <c r="BI151" s="140"/>
      <c r="BJ151" s="140"/>
      <c r="BK151" s="140"/>
      <c r="BL151" s="140"/>
      <c r="BM151" s="140"/>
      <c r="BN151" s="140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</row>
    <row r="152" spans="1:200" ht="15" customHeight="1" x14ac:dyDescent="0.2">
      <c r="A152" s="18"/>
      <c r="B152" s="18" t="str">
        <f t="shared" si="4"/>
        <v/>
      </c>
      <c r="C152" s="29" t="str">
        <f>IF(OR(Client_Info!$D$14="",Client_Info!$D$15=""),"",IF(EOMONTH(Client_Info!$D$14,144)&lt;=Client_Info!$D$15,EOMONTH(Client_Info!$D$14,144),""))</f>
        <v/>
      </c>
      <c r="D152" s="138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9"/>
      <c r="AU152" s="140"/>
      <c r="AV152" s="140"/>
      <c r="AW152" s="140"/>
      <c r="AX152" s="140"/>
      <c r="AY152" s="140"/>
      <c r="AZ152" s="140"/>
      <c r="BA152" s="140"/>
      <c r="BB152" s="140"/>
      <c r="BC152" s="140"/>
      <c r="BD152" s="140"/>
      <c r="BE152" s="140"/>
      <c r="BF152" s="140"/>
      <c r="BG152" s="140"/>
      <c r="BH152" s="140"/>
      <c r="BI152" s="140"/>
      <c r="BJ152" s="140"/>
      <c r="BK152" s="140"/>
      <c r="BL152" s="140"/>
      <c r="BM152" s="140"/>
      <c r="BN152" s="140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</row>
    <row r="153" spans="1:200" ht="15" customHeight="1" x14ac:dyDescent="0.2">
      <c r="A153" s="18"/>
      <c r="B153" s="18" t="str">
        <f t="shared" si="4"/>
        <v/>
      </c>
      <c r="C153" s="29" t="str">
        <f>IF(OR(Client_Info!$D$14="",Client_Info!$D$15=""),"",IF(EOMONTH(Client_Info!$D$14,145)&lt;=Client_Info!$D$15,EOMONTH(Client_Info!$D$14,145),""))</f>
        <v/>
      </c>
      <c r="D153" s="138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9"/>
      <c r="AU153" s="140"/>
      <c r="AV153" s="140"/>
      <c r="AW153" s="140"/>
      <c r="AX153" s="140"/>
      <c r="AY153" s="140"/>
      <c r="AZ153" s="140"/>
      <c r="BA153" s="140"/>
      <c r="BB153" s="140"/>
      <c r="BC153" s="140"/>
      <c r="BD153" s="140"/>
      <c r="BE153" s="140"/>
      <c r="BF153" s="140"/>
      <c r="BG153" s="140"/>
      <c r="BH153" s="140"/>
      <c r="BI153" s="140"/>
      <c r="BJ153" s="140"/>
      <c r="BK153" s="140"/>
      <c r="BL153" s="140"/>
      <c r="BM153" s="140"/>
      <c r="BN153" s="140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</row>
    <row r="154" spans="1:200" ht="15" customHeight="1" x14ac:dyDescent="0.2">
      <c r="A154" s="18"/>
      <c r="B154" s="18" t="str">
        <f t="shared" si="4"/>
        <v/>
      </c>
      <c r="C154" s="29" t="str">
        <f>IF(OR(Client_Info!$D$14="",Client_Info!$D$15=""),"",IF(EOMONTH(Client_Info!$D$14,146)&lt;=Client_Info!$D$15,EOMONTH(Client_Info!$D$14,146),""))</f>
        <v/>
      </c>
      <c r="D154" s="138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9"/>
      <c r="AU154" s="140"/>
      <c r="AV154" s="140"/>
      <c r="AW154" s="140"/>
      <c r="AX154" s="140"/>
      <c r="AY154" s="140"/>
      <c r="AZ154" s="140"/>
      <c r="BA154" s="140"/>
      <c r="BB154" s="140"/>
      <c r="BC154" s="140"/>
      <c r="BD154" s="140"/>
      <c r="BE154" s="140"/>
      <c r="BF154" s="140"/>
      <c r="BG154" s="140"/>
      <c r="BH154" s="140"/>
      <c r="BI154" s="140"/>
      <c r="BJ154" s="140"/>
      <c r="BK154" s="140"/>
      <c r="BL154" s="140"/>
      <c r="BM154" s="140"/>
      <c r="BN154" s="140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</row>
    <row r="155" spans="1:200" ht="15" customHeight="1" x14ac:dyDescent="0.2">
      <c r="A155" s="18"/>
      <c r="B155" s="18" t="str">
        <f t="shared" si="4"/>
        <v/>
      </c>
      <c r="C155" s="29" t="str">
        <f>IF(OR(Client_Info!$D$14="",Client_Info!$D$15=""),"",IF(EOMONTH(Client_Info!$D$14,147)&lt;=Client_Info!$D$15,EOMONTH(Client_Info!$D$14,147),""))</f>
        <v/>
      </c>
      <c r="D155" s="138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9"/>
      <c r="AU155" s="140"/>
      <c r="AV155" s="140"/>
      <c r="AW155" s="140"/>
      <c r="AX155" s="140"/>
      <c r="AY155" s="140"/>
      <c r="AZ155" s="140"/>
      <c r="BA155" s="140"/>
      <c r="BB155" s="140"/>
      <c r="BC155" s="140"/>
      <c r="BD155" s="140"/>
      <c r="BE155" s="140"/>
      <c r="BF155" s="140"/>
      <c r="BG155" s="140"/>
      <c r="BH155" s="140"/>
      <c r="BI155" s="140"/>
      <c r="BJ155" s="140"/>
      <c r="BK155" s="140"/>
      <c r="BL155" s="140"/>
      <c r="BM155" s="140"/>
      <c r="BN155" s="140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</row>
    <row r="156" spans="1:200" ht="15" customHeight="1" x14ac:dyDescent="0.2">
      <c r="A156" s="18"/>
      <c r="B156" s="18" t="str">
        <f t="shared" si="4"/>
        <v/>
      </c>
      <c r="C156" s="29" t="str">
        <f>IF(OR(Client_Info!$D$14="",Client_Info!$D$15=""),"",IF(EOMONTH(Client_Info!$D$14,148)&lt;=Client_Info!$D$15,EOMONTH(Client_Info!$D$14,148),""))</f>
        <v/>
      </c>
      <c r="D156" s="138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9"/>
      <c r="AU156" s="140"/>
      <c r="AV156" s="140"/>
      <c r="AW156" s="140"/>
      <c r="AX156" s="140"/>
      <c r="AY156" s="140"/>
      <c r="AZ156" s="140"/>
      <c r="BA156" s="140"/>
      <c r="BB156" s="140"/>
      <c r="BC156" s="140"/>
      <c r="BD156" s="140"/>
      <c r="BE156" s="140"/>
      <c r="BF156" s="140"/>
      <c r="BG156" s="140"/>
      <c r="BH156" s="140"/>
      <c r="BI156" s="140"/>
      <c r="BJ156" s="140"/>
      <c r="BK156" s="140"/>
      <c r="BL156" s="140"/>
      <c r="BM156" s="140"/>
      <c r="BN156" s="140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</row>
    <row r="157" spans="1:200" ht="15" customHeight="1" x14ac:dyDescent="0.2">
      <c r="A157" s="18"/>
      <c r="B157" s="18" t="str">
        <f t="shared" si="4"/>
        <v/>
      </c>
      <c r="C157" s="29" t="str">
        <f>IF(OR(Client_Info!$D$14="",Client_Info!$D$15=""),"",IF(EOMONTH(Client_Info!$D$14,149)&lt;=Client_Info!$D$15,EOMONTH(Client_Info!$D$14,149),""))</f>
        <v/>
      </c>
      <c r="D157" s="138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9"/>
      <c r="AU157" s="140"/>
      <c r="AV157" s="140"/>
      <c r="AW157" s="140"/>
      <c r="AX157" s="140"/>
      <c r="AY157" s="140"/>
      <c r="AZ157" s="140"/>
      <c r="BA157" s="140"/>
      <c r="BB157" s="140"/>
      <c r="BC157" s="140"/>
      <c r="BD157" s="140"/>
      <c r="BE157" s="140"/>
      <c r="BF157" s="140"/>
      <c r="BG157" s="140"/>
      <c r="BH157" s="140"/>
      <c r="BI157" s="140"/>
      <c r="BJ157" s="140"/>
      <c r="BK157" s="140"/>
      <c r="BL157" s="140"/>
      <c r="BM157" s="140"/>
      <c r="BN157" s="140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</row>
    <row r="158" spans="1:200" ht="15" customHeight="1" x14ac:dyDescent="0.2">
      <c r="A158" s="18"/>
      <c r="B158" s="18" t="str">
        <f t="shared" si="4"/>
        <v/>
      </c>
      <c r="C158" s="29" t="str">
        <f>IF(OR(Client_Info!$D$14="",Client_Info!$D$15=""),"",IF(EOMONTH(Client_Info!$D$14,150)&lt;=Client_Info!$D$15,EOMONTH(Client_Info!$D$14,150),""))</f>
        <v/>
      </c>
      <c r="D158" s="138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9"/>
      <c r="AU158" s="140"/>
      <c r="AV158" s="140"/>
      <c r="AW158" s="140"/>
      <c r="AX158" s="140"/>
      <c r="AY158" s="140"/>
      <c r="AZ158" s="140"/>
      <c r="BA158" s="140"/>
      <c r="BB158" s="140"/>
      <c r="BC158" s="140"/>
      <c r="BD158" s="140"/>
      <c r="BE158" s="140"/>
      <c r="BF158" s="140"/>
      <c r="BG158" s="140"/>
      <c r="BH158" s="140"/>
      <c r="BI158" s="140"/>
      <c r="BJ158" s="140"/>
      <c r="BK158" s="140"/>
      <c r="BL158" s="140"/>
      <c r="BM158" s="140"/>
      <c r="BN158" s="140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</row>
    <row r="159" spans="1:200" ht="15" customHeight="1" x14ac:dyDescent="0.2">
      <c r="A159" s="18"/>
      <c r="B159" s="18" t="str">
        <f t="shared" si="4"/>
        <v/>
      </c>
      <c r="C159" s="29" t="str">
        <f>IF(OR(Client_Info!$D$14="",Client_Info!$D$15=""),"",IF(EOMONTH(Client_Info!$D$14,151)&lt;=Client_Info!$D$15,EOMONTH(Client_Info!$D$14,151),""))</f>
        <v/>
      </c>
      <c r="D159" s="138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9"/>
      <c r="AU159" s="140"/>
      <c r="AV159" s="140"/>
      <c r="AW159" s="140"/>
      <c r="AX159" s="140"/>
      <c r="AY159" s="140"/>
      <c r="AZ159" s="140"/>
      <c r="BA159" s="140"/>
      <c r="BB159" s="140"/>
      <c r="BC159" s="140"/>
      <c r="BD159" s="140"/>
      <c r="BE159" s="140"/>
      <c r="BF159" s="140"/>
      <c r="BG159" s="140"/>
      <c r="BH159" s="140"/>
      <c r="BI159" s="140"/>
      <c r="BJ159" s="140"/>
      <c r="BK159" s="140"/>
      <c r="BL159" s="140"/>
      <c r="BM159" s="140"/>
      <c r="BN159" s="140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</row>
    <row r="160" spans="1:200" ht="15" customHeight="1" x14ac:dyDescent="0.2">
      <c r="A160" s="18"/>
      <c r="B160" s="18" t="str">
        <f t="shared" si="4"/>
        <v/>
      </c>
      <c r="C160" s="29" t="str">
        <f>IF(OR(Client_Info!$D$14="",Client_Info!$D$15=""),"",IF(EOMONTH(Client_Info!$D$14,152)&lt;=Client_Info!$D$15,EOMONTH(Client_Info!$D$14,152),""))</f>
        <v/>
      </c>
      <c r="D160" s="138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9"/>
      <c r="AU160" s="140"/>
      <c r="AV160" s="140"/>
      <c r="AW160" s="140"/>
      <c r="AX160" s="140"/>
      <c r="AY160" s="140"/>
      <c r="AZ160" s="140"/>
      <c r="BA160" s="140"/>
      <c r="BB160" s="140"/>
      <c r="BC160" s="140"/>
      <c r="BD160" s="140"/>
      <c r="BE160" s="140"/>
      <c r="BF160" s="140"/>
      <c r="BG160" s="140"/>
      <c r="BH160" s="140"/>
      <c r="BI160" s="140"/>
      <c r="BJ160" s="140"/>
      <c r="BK160" s="140"/>
      <c r="BL160" s="140"/>
      <c r="BM160" s="140"/>
      <c r="BN160" s="140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</row>
    <row r="161" spans="1:200" ht="15" customHeight="1" x14ac:dyDescent="0.2">
      <c r="A161" s="18"/>
      <c r="B161" s="18" t="str">
        <f t="shared" si="4"/>
        <v/>
      </c>
      <c r="C161" s="29" t="str">
        <f>IF(OR(Client_Info!$D$14="",Client_Info!$D$15=""),"",IF(EOMONTH(Client_Info!$D$14,153)&lt;=Client_Info!$D$15,EOMONTH(Client_Info!$D$14,153),""))</f>
        <v/>
      </c>
      <c r="D161" s="138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9"/>
      <c r="AU161" s="140"/>
      <c r="AV161" s="140"/>
      <c r="AW161" s="140"/>
      <c r="AX161" s="140"/>
      <c r="AY161" s="140"/>
      <c r="AZ161" s="140"/>
      <c r="BA161" s="140"/>
      <c r="BB161" s="140"/>
      <c r="BC161" s="140"/>
      <c r="BD161" s="140"/>
      <c r="BE161" s="140"/>
      <c r="BF161" s="140"/>
      <c r="BG161" s="140"/>
      <c r="BH161" s="140"/>
      <c r="BI161" s="140"/>
      <c r="BJ161" s="140"/>
      <c r="BK161" s="140"/>
      <c r="BL161" s="140"/>
      <c r="BM161" s="140"/>
      <c r="BN161" s="140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</row>
    <row r="162" spans="1:200" ht="15" customHeight="1" x14ac:dyDescent="0.2">
      <c r="A162" s="18"/>
      <c r="B162" s="18" t="str">
        <f t="shared" si="4"/>
        <v/>
      </c>
      <c r="C162" s="29" t="str">
        <f>IF(OR(Client_Info!$D$14="",Client_Info!$D$15=""),"",IF(EOMONTH(Client_Info!$D$14,154)&lt;=Client_Info!$D$15,EOMONTH(Client_Info!$D$14,154),""))</f>
        <v/>
      </c>
      <c r="D162" s="138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9"/>
      <c r="AU162" s="140"/>
      <c r="AV162" s="140"/>
      <c r="AW162" s="140"/>
      <c r="AX162" s="140"/>
      <c r="AY162" s="140"/>
      <c r="AZ162" s="140"/>
      <c r="BA162" s="140"/>
      <c r="BB162" s="140"/>
      <c r="BC162" s="140"/>
      <c r="BD162" s="140"/>
      <c r="BE162" s="140"/>
      <c r="BF162" s="140"/>
      <c r="BG162" s="140"/>
      <c r="BH162" s="140"/>
      <c r="BI162" s="140"/>
      <c r="BJ162" s="140"/>
      <c r="BK162" s="140"/>
      <c r="BL162" s="140"/>
      <c r="BM162" s="140"/>
      <c r="BN162" s="140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</row>
    <row r="163" spans="1:200" ht="15" customHeight="1" x14ac:dyDescent="0.2">
      <c r="A163" s="18"/>
      <c r="B163" s="18" t="str">
        <f t="shared" si="4"/>
        <v/>
      </c>
      <c r="C163" s="29" t="str">
        <f>IF(OR(Client_Info!$D$14="",Client_Info!$D$15=""),"",IF(EOMONTH(Client_Info!$D$14,155)&lt;=Client_Info!$D$15,EOMONTH(Client_Info!$D$14,155),""))</f>
        <v/>
      </c>
      <c r="D163" s="138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9"/>
      <c r="AU163" s="140"/>
      <c r="AV163" s="140"/>
      <c r="AW163" s="140"/>
      <c r="AX163" s="140"/>
      <c r="AY163" s="140"/>
      <c r="AZ163" s="140"/>
      <c r="BA163" s="140"/>
      <c r="BB163" s="140"/>
      <c r="BC163" s="140"/>
      <c r="BD163" s="140"/>
      <c r="BE163" s="140"/>
      <c r="BF163" s="140"/>
      <c r="BG163" s="140"/>
      <c r="BH163" s="140"/>
      <c r="BI163" s="140"/>
      <c r="BJ163" s="140"/>
      <c r="BK163" s="140"/>
      <c r="BL163" s="140"/>
      <c r="BM163" s="140"/>
      <c r="BN163" s="140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</row>
    <row r="164" spans="1:200" ht="15" customHeight="1" x14ac:dyDescent="0.2">
      <c r="A164" s="18"/>
      <c r="B164" s="18" t="str">
        <f t="shared" si="4"/>
        <v/>
      </c>
      <c r="C164" s="29" t="str">
        <f>IF(OR(Client_Info!$D$14="",Client_Info!$D$15=""),"",IF(EOMONTH(Client_Info!$D$14,156)&lt;=Client_Info!$D$15,EOMONTH(Client_Info!$D$14,156),""))</f>
        <v/>
      </c>
      <c r="D164" s="138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9"/>
      <c r="AU164" s="140"/>
      <c r="AV164" s="140"/>
      <c r="AW164" s="140"/>
      <c r="AX164" s="140"/>
      <c r="AY164" s="140"/>
      <c r="AZ164" s="140"/>
      <c r="BA164" s="140"/>
      <c r="BB164" s="140"/>
      <c r="BC164" s="140"/>
      <c r="BD164" s="140"/>
      <c r="BE164" s="140"/>
      <c r="BF164" s="140"/>
      <c r="BG164" s="140"/>
      <c r="BH164" s="140"/>
      <c r="BI164" s="140"/>
      <c r="BJ164" s="140"/>
      <c r="BK164" s="140"/>
      <c r="BL164" s="140"/>
      <c r="BM164" s="140"/>
      <c r="BN164" s="140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</row>
    <row r="165" spans="1:200" ht="15" customHeight="1" x14ac:dyDescent="0.2">
      <c r="A165" s="18"/>
      <c r="B165" s="18" t="str">
        <f t="shared" si="4"/>
        <v/>
      </c>
      <c r="C165" s="29" t="str">
        <f>IF(OR(Client_Info!$D$14="",Client_Info!$D$15=""),"",IF(EOMONTH(Client_Info!$D$14,157)&lt;=Client_Info!$D$15,EOMONTH(Client_Info!$D$14,157),""))</f>
        <v/>
      </c>
      <c r="D165" s="138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9"/>
      <c r="AU165" s="140"/>
      <c r="AV165" s="140"/>
      <c r="AW165" s="140"/>
      <c r="AX165" s="140"/>
      <c r="AY165" s="140"/>
      <c r="AZ165" s="140"/>
      <c r="BA165" s="140"/>
      <c r="BB165" s="140"/>
      <c r="BC165" s="140"/>
      <c r="BD165" s="140"/>
      <c r="BE165" s="140"/>
      <c r="BF165" s="140"/>
      <c r="BG165" s="140"/>
      <c r="BH165" s="140"/>
      <c r="BI165" s="140"/>
      <c r="BJ165" s="140"/>
      <c r="BK165" s="140"/>
      <c r="BL165" s="140"/>
      <c r="BM165" s="140"/>
      <c r="BN165" s="140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</row>
    <row r="166" spans="1:200" ht="15" customHeight="1" x14ac:dyDescent="0.2">
      <c r="A166" s="18"/>
      <c r="B166" s="18" t="str">
        <f t="shared" si="4"/>
        <v/>
      </c>
      <c r="C166" s="29" t="str">
        <f>IF(OR(Client_Info!$D$14="",Client_Info!$D$15=""),"",IF(EOMONTH(Client_Info!$D$14,158)&lt;=Client_Info!$D$15,EOMONTH(Client_Info!$D$14,158),""))</f>
        <v/>
      </c>
      <c r="D166" s="138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9"/>
      <c r="AU166" s="140"/>
      <c r="AV166" s="140"/>
      <c r="AW166" s="140"/>
      <c r="AX166" s="140"/>
      <c r="AY166" s="140"/>
      <c r="AZ166" s="140"/>
      <c r="BA166" s="140"/>
      <c r="BB166" s="140"/>
      <c r="BC166" s="140"/>
      <c r="BD166" s="140"/>
      <c r="BE166" s="140"/>
      <c r="BF166" s="140"/>
      <c r="BG166" s="140"/>
      <c r="BH166" s="140"/>
      <c r="BI166" s="140"/>
      <c r="BJ166" s="140"/>
      <c r="BK166" s="140"/>
      <c r="BL166" s="140"/>
      <c r="BM166" s="140"/>
      <c r="BN166" s="140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</row>
    <row r="167" spans="1:200" ht="15" customHeight="1" x14ac:dyDescent="0.2">
      <c r="A167" s="18"/>
      <c r="B167" s="18" t="str">
        <f t="shared" si="4"/>
        <v/>
      </c>
      <c r="C167" s="29" t="str">
        <f>IF(OR(Client_Info!$D$14="",Client_Info!$D$15=""),"",IF(EOMONTH(Client_Info!$D$14,159)&lt;=Client_Info!$D$15,EOMONTH(Client_Info!$D$14,159),""))</f>
        <v/>
      </c>
      <c r="D167" s="138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9"/>
      <c r="AU167" s="140"/>
      <c r="AV167" s="140"/>
      <c r="AW167" s="140"/>
      <c r="AX167" s="140"/>
      <c r="AY167" s="140"/>
      <c r="AZ167" s="140"/>
      <c r="BA167" s="140"/>
      <c r="BB167" s="140"/>
      <c r="BC167" s="140"/>
      <c r="BD167" s="140"/>
      <c r="BE167" s="140"/>
      <c r="BF167" s="140"/>
      <c r="BG167" s="140"/>
      <c r="BH167" s="140"/>
      <c r="BI167" s="140"/>
      <c r="BJ167" s="140"/>
      <c r="BK167" s="140"/>
      <c r="BL167" s="140"/>
      <c r="BM167" s="140"/>
      <c r="BN167" s="140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</row>
    <row r="168" spans="1:200" ht="15" customHeight="1" x14ac:dyDescent="0.2">
      <c r="A168" s="18"/>
      <c r="B168" s="18" t="str">
        <f t="shared" ref="B168:B199" si="5">IF(C168="","","[ROW:"&amp;UPPER(TEXT(C168,"MMM"))&amp;"_"&amp;TEXT(C168,"YYYY")&amp;"]")</f>
        <v/>
      </c>
      <c r="C168" s="29" t="str">
        <f>IF(OR(Client_Info!$D$14="",Client_Info!$D$15=""),"",IF(EOMONTH(Client_Info!$D$14,160)&lt;=Client_Info!$D$15,EOMONTH(Client_Info!$D$14,160),""))</f>
        <v/>
      </c>
      <c r="D168" s="138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9"/>
      <c r="AU168" s="140"/>
      <c r="AV168" s="140"/>
      <c r="AW168" s="140"/>
      <c r="AX168" s="140"/>
      <c r="AY168" s="140"/>
      <c r="AZ168" s="140"/>
      <c r="BA168" s="140"/>
      <c r="BB168" s="140"/>
      <c r="BC168" s="140"/>
      <c r="BD168" s="140"/>
      <c r="BE168" s="140"/>
      <c r="BF168" s="140"/>
      <c r="BG168" s="140"/>
      <c r="BH168" s="140"/>
      <c r="BI168" s="140"/>
      <c r="BJ168" s="140"/>
      <c r="BK168" s="140"/>
      <c r="BL168" s="140"/>
      <c r="BM168" s="140"/>
      <c r="BN168" s="140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</row>
    <row r="169" spans="1:200" ht="15" customHeight="1" x14ac:dyDescent="0.2">
      <c r="A169" s="18"/>
      <c r="B169" s="18" t="str">
        <f t="shared" si="5"/>
        <v/>
      </c>
      <c r="C169" s="29" t="str">
        <f>IF(OR(Client_Info!$D$14="",Client_Info!$D$15=""),"",IF(EOMONTH(Client_Info!$D$14,161)&lt;=Client_Info!$D$15,EOMONTH(Client_Info!$D$14,161),""))</f>
        <v/>
      </c>
      <c r="D169" s="138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9"/>
      <c r="AU169" s="140"/>
      <c r="AV169" s="140"/>
      <c r="AW169" s="140"/>
      <c r="AX169" s="140"/>
      <c r="AY169" s="140"/>
      <c r="AZ169" s="140"/>
      <c r="BA169" s="140"/>
      <c r="BB169" s="140"/>
      <c r="BC169" s="140"/>
      <c r="BD169" s="140"/>
      <c r="BE169" s="140"/>
      <c r="BF169" s="140"/>
      <c r="BG169" s="140"/>
      <c r="BH169" s="140"/>
      <c r="BI169" s="140"/>
      <c r="BJ169" s="140"/>
      <c r="BK169" s="140"/>
      <c r="BL169" s="140"/>
      <c r="BM169" s="140"/>
      <c r="BN169" s="140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</row>
    <row r="170" spans="1:200" ht="15" customHeight="1" x14ac:dyDescent="0.2">
      <c r="A170" s="18"/>
      <c r="B170" s="18" t="str">
        <f t="shared" si="5"/>
        <v/>
      </c>
      <c r="C170" s="29" t="str">
        <f>IF(OR(Client_Info!$D$14="",Client_Info!$D$15=""),"",IF(EOMONTH(Client_Info!$D$14,162)&lt;=Client_Info!$D$15,EOMONTH(Client_Info!$D$14,162),""))</f>
        <v/>
      </c>
      <c r="D170" s="138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9"/>
      <c r="AU170" s="140"/>
      <c r="AV170" s="140"/>
      <c r="AW170" s="140"/>
      <c r="AX170" s="140"/>
      <c r="AY170" s="140"/>
      <c r="AZ170" s="140"/>
      <c r="BA170" s="140"/>
      <c r="BB170" s="140"/>
      <c r="BC170" s="140"/>
      <c r="BD170" s="140"/>
      <c r="BE170" s="140"/>
      <c r="BF170" s="140"/>
      <c r="BG170" s="140"/>
      <c r="BH170" s="140"/>
      <c r="BI170" s="140"/>
      <c r="BJ170" s="140"/>
      <c r="BK170" s="140"/>
      <c r="BL170" s="140"/>
      <c r="BM170" s="140"/>
      <c r="BN170" s="140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</row>
    <row r="171" spans="1:200" ht="15" customHeight="1" x14ac:dyDescent="0.2">
      <c r="A171" s="18"/>
      <c r="B171" s="18" t="str">
        <f t="shared" si="5"/>
        <v/>
      </c>
      <c r="C171" s="29" t="str">
        <f>IF(OR(Client_Info!$D$14="",Client_Info!$D$15=""),"",IF(EOMONTH(Client_Info!$D$14,163)&lt;=Client_Info!$D$15,EOMONTH(Client_Info!$D$14,163),""))</f>
        <v/>
      </c>
      <c r="D171" s="138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9"/>
      <c r="AU171" s="140"/>
      <c r="AV171" s="140"/>
      <c r="AW171" s="140"/>
      <c r="AX171" s="140"/>
      <c r="AY171" s="140"/>
      <c r="AZ171" s="140"/>
      <c r="BA171" s="140"/>
      <c r="BB171" s="140"/>
      <c r="BC171" s="140"/>
      <c r="BD171" s="140"/>
      <c r="BE171" s="140"/>
      <c r="BF171" s="140"/>
      <c r="BG171" s="140"/>
      <c r="BH171" s="140"/>
      <c r="BI171" s="140"/>
      <c r="BJ171" s="140"/>
      <c r="BK171" s="140"/>
      <c r="BL171" s="140"/>
      <c r="BM171" s="140"/>
      <c r="BN171" s="140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</row>
    <row r="172" spans="1:200" ht="15" customHeight="1" x14ac:dyDescent="0.2">
      <c r="A172" s="18"/>
      <c r="B172" s="18" t="str">
        <f t="shared" si="5"/>
        <v/>
      </c>
      <c r="C172" s="29" t="str">
        <f>IF(OR(Client_Info!$D$14="",Client_Info!$D$15=""),"",IF(EOMONTH(Client_Info!$D$14,164)&lt;=Client_Info!$D$15,EOMONTH(Client_Info!$D$14,164),""))</f>
        <v/>
      </c>
      <c r="D172" s="138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9"/>
      <c r="AU172" s="140"/>
      <c r="AV172" s="140"/>
      <c r="AW172" s="140"/>
      <c r="AX172" s="140"/>
      <c r="AY172" s="140"/>
      <c r="AZ172" s="140"/>
      <c r="BA172" s="140"/>
      <c r="BB172" s="140"/>
      <c r="BC172" s="140"/>
      <c r="BD172" s="140"/>
      <c r="BE172" s="140"/>
      <c r="BF172" s="140"/>
      <c r="BG172" s="140"/>
      <c r="BH172" s="140"/>
      <c r="BI172" s="140"/>
      <c r="BJ172" s="140"/>
      <c r="BK172" s="140"/>
      <c r="BL172" s="140"/>
      <c r="BM172" s="140"/>
      <c r="BN172" s="140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</row>
    <row r="173" spans="1:200" ht="15" customHeight="1" x14ac:dyDescent="0.2">
      <c r="A173" s="18"/>
      <c r="B173" s="18" t="str">
        <f t="shared" si="5"/>
        <v/>
      </c>
      <c r="C173" s="29" t="str">
        <f>IF(OR(Client_Info!$D$14="",Client_Info!$D$15=""),"",IF(EOMONTH(Client_Info!$D$14,165)&lt;=Client_Info!$D$15,EOMONTH(Client_Info!$D$14,165),""))</f>
        <v/>
      </c>
      <c r="D173" s="138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9"/>
      <c r="AU173" s="140"/>
      <c r="AV173" s="140"/>
      <c r="AW173" s="140"/>
      <c r="AX173" s="140"/>
      <c r="AY173" s="140"/>
      <c r="AZ173" s="140"/>
      <c r="BA173" s="140"/>
      <c r="BB173" s="140"/>
      <c r="BC173" s="140"/>
      <c r="BD173" s="140"/>
      <c r="BE173" s="140"/>
      <c r="BF173" s="140"/>
      <c r="BG173" s="140"/>
      <c r="BH173" s="140"/>
      <c r="BI173" s="140"/>
      <c r="BJ173" s="140"/>
      <c r="BK173" s="140"/>
      <c r="BL173" s="140"/>
      <c r="BM173" s="140"/>
      <c r="BN173" s="140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</row>
    <row r="174" spans="1:200" ht="15" customHeight="1" x14ac:dyDescent="0.2">
      <c r="A174" s="18"/>
      <c r="B174" s="18" t="str">
        <f t="shared" si="5"/>
        <v/>
      </c>
      <c r="C174" s="29" t="str">
        <f>IF(OR(Client_Info!$D$14="",Client_Info!$D$15=""),"",IF(EOMONTH(Client_Info!$D$14,166)&lt;=Client_Info!$D$15,EOMONTH(Client_Info!$D$14,166),""))</f>
        <v/>
      </c>
      <c r="D174" s="138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9"/>
      <c r="AU174" s="140"/>
      <c r="AV174" s="140"/>
      <c r="AW174" s="140"/>
      <c r="AX174" s="140"/>
      <c r="AY174" s="140"/>
      <c r="AZ174" s="140"/>
      <c r="BA174" s="140"/>
      <c r="BB174" s="140"/>
      <c r="BC174" s="140"/>
      <c r="BD174" s="140"/>
      <c r="BE174" s="140"/>
      <c r="BF174" s="140"/>
      <c r="BG174" s="140"/>
      <c r="BH174" s="140"/>
      <c r="BI174" s="140"/>
      <c r="BJ174" s="140"/>
      <c r="BK174" s="140"/>
      <c r="BL174" s="140"/>
      <c r="BM174" s="140"/>
      <c r="BN174" s="140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</row>
    <row r="175" spans="1:200" ht="15" customHeight="1" x14ac:dyDescent="0.2">
      <c r="A175" s="18"/>
      <c r="B175" s="18" t="str">
        <f t="shared" si="5"/>
        <v/>
      </c>
      <c r="C175" s="29" t="str">
        <f>IF(OR(Client_Info!$D$14="",Client_Info!$D$15=""),"",IF(EOMONTH(Client_Info!$D$14,167)&lt;=Client_Info!$D$15,EOMONTH(Client_Info!$D$14,167),""))</f>
        <v/>
      </c>
      <c r="D175" s="138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9"/>
      <c r="AU175" s="140"/>
      <c r="AV175" s="140"/>
      <c r="AW175" s="140"/>
      <c r="AX175" s="140"/>
      <c r="AY175" s="140"/>
      <c r="AZ175" s="140"/>
      <c r="BA175" s="140"/>
      <c r="BB175" s="140"/>
      <c r="BC175" s="140"/>
      <c r="BD175" s="140"/>
      <c r="BE175" s="140"/>
      <c r="BF175" s="140"/>
      <c r="BG175" s="140"/>
      <c r="BH175" s="140"/>
      <c r="BI175" s="140"/>
      <c r="BJ175" s="140"/>
      <c r="BK175" s="140"/>
      <c r="BL175" s="140"/>
      <c r="BM175" s="140"/>
      <c r="BN175" s="140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</row>
    <row r="176" spans="1:200" ht="15" customHeight="1" x14ac:dyDescent="0.2">
      <c r="A176" s="18"/>
      <c r="B176" s="18" t="str">
        <f t="shared" si="5"/>
        <v/>
      </c>
      <c r="C176" s="29" t="str">
        <f>IF(OR(Client_Info!$D$14="",Client_Info!$D$15=""),"",IF(EOMONTH(Client_Info!$D$14,168)&lt;=Client_Info!$D$15,EOMONTH(Client_Info!$D$14,168),""))</f>
        <v/>
      </c>
      <c r="D176" s="138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9"/>
      <c r="AU176" s="140"/>
      <c r="AV176" s="140"/>
      <c r="AW176" s="140"/>
      <c r="AX176" s="140"/>
      <c r="AY176" s="140"/>
      <c r="AZ176" s="140"/>
      <c r="BA176" s="140"/>
      <c r="BB176" s="140"/>
      <c r="BC176" s="140"/>
      <c r="BD176" s="140"/>
      <c r="BE176" s="140"/>
      <c r="BF176" s="140"/>
      <c r="BG176" s="140"/>
      <c r="BH176" s="140"/>
      <c r="BI176" s="140"/>
      <c r="BJ176" s="140"/>
      <c r="BK176" s="140"/>
      <c r="BL176" s="140"/>
      <c r="BM176" s="140"/>
      <c r="BN176" s="140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</row>
    <row r="177" spans="1:200" ht="15" customHeight="1" x14ac:dyDescent="0.2">
      <c r="A177" s="18"/>
      <c r="B177" s="18" t="str">
        <f t="shared" si="5"/>
        <v/>
      </c>
      <c r="C177" s="29" t="str">
        <f>IF(OR(Client_Info!$D$14="",Client_Info!$D$15=""),"",IF(EOMONTH(Client_Info!$D$14,169)&lt;=Client_Info!$D$15,EOMONTH(Client_Info!$D$14,169),""))</f>
        <v/>
      </c>
      <c r="D177" s="138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9"/>
      <c r="AU177" s="140"/>
      <c r="AV177" s="140"/>
      <c r="AW177" s="140"/>
      <c r="AX177" s="140"/>
      <c r="AY177" s="140"/>
      <c r="AZ177" s="140"/>
      <c r="BA177" s="140"/>
      <c r="BB177" s="140"/>
      <c r="BC177" s="140"/>
      <c r="BD177" s="140"/>
      <c r="BE177" s="140"/>
      <c r="BF177" s="140"/>
      <c r="BG177" s="140"/>
      <c r="BH177" s="140"/>
      <c r="BI177" s="140"/>
      <c r="BJ177" s="140"/>
      <c r="BK177" s="140"/>
      <c r="BL177" s="140"/>
      <c r="BM177" s="140"/>
      <c r="BN177" s="140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</row>
    <row r="178" spans="1:200" ht="15" customHeight="1" x14ac:dyDescent="0.2">
      <c r="A178" s="18"/>
      <c r="B178" s="18" t="str">
        <f t="shared" si="5"/>
        <v/>
      </c>
      <c r="C178" s="29" t="str">
        <f>IF(OR(Client_Info!$D$14="",Client_Info!$D$15=""),"",IF(EOMONTH(Client_Info!$D$14,170)&lt;=Client_Info!$D$15,EOMONTH(Client_Info!$D$14,170),""))</f>
        <v/>
      </c>
      <c r="D178" s="138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9"/>
      <c r="AU178" s="140"/>
      <c r="AV178" s="140"/>
      <c r="AW178" s="140"/>
      <c r="AX178" s="140"/>
      <c r="AY178" s="140"/>
      <c r="AZ178" s="140"/>
      <c r="BA178" s="140"/>
      <c r="BB178" s="140"/>
      <c r="BC178" s="140"/>
      <c r="BD178" s="140"/>
      <c r="BE178" s="140"/>
      <c r="BF178" s="140"/>
      <c r="BG178" s="140"/>
      <c r="BH178" s="140"/>
      <c r="BI178" s="140"/>
      <c r="BJ178" s="140"/>
      <c r="BK178" s="140"/>
      <c r="BL178" s="140"/>
      <c r="BM178" s="140"/>
      <c r="BN178" s="140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</row>
    <row r="179" spans="1:200" ht="15" customHeight="1" x14ac:dyDescent="0.2">
      <c r="A179" s="18"/>
      <c r="B179" s="18" t="str">
        <f t="shared" si="5"/>
        <v/>
      </c>
      <c r="C179" s="29" t="str">
        <f>IF(OR(Client_Info!$D$14="",Client_Info!$D$15=""),"",IF(EOMONTH(Client_Info!$D$14,171)&lt;=Client_Info!$D$15,EOMONTH(Client_Info!$D$14,171),""))</f>
        <v/>
      </c>
      <c r="D179" s="138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9"/>
      <c r="AU179" s="140"/>
      <c r="AV179" s="140"/>
      <c r="AW179" s="140"/>
      <c r="AX179" s="140"/>
      <c r="AY179" s="140"/>
      <c r="AZ179" s="140"/>
      <c r="BA179" s="140"/>
      <c r="BB179" s="140"/>
      <c r="BC179" s="140"/>
      <c r="BD179" s="140"/>
      <c r="BE179" s="140"/>
      <c r="BF179" s="140"/>
      <c r="BG179" s="140"/>
      <c r="BH179" s="140"/>
      <c r="BI179" s="140"/>
      <c r="BJ179" s="140"/>
      <c r="BK179" s="140"/>
      <c r="BL179" s="140"/>
      <c r="BM179" s="140"/>
      <c r="BN179" s="140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</row>
    <row r="180" spans="1:200" ht="15" customHeight="1" x14ac:dyDescent="0.2">
      <c r="A180" s="18"/>
      <c r="B180" s="18" t="str">
        <f t="shared" si="5"/>
        <v/>
      </c>
      <c r="C180" s="29" t="str">
        <f>IF(OR(Client_Info!$D$14="",Client_Info!$D$15=""),"",IF(EOMONTH(Client_Info!$D$14,172)&lt;=Client_Info!$D$15,EOMONTH(Client_Info!$D$14,172),""))</f>
        <v/>
      </c>
      <c r="D180" s="138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9"/>
      <c r="AU180" s="140"/>
      <c r="AV180" s="140"/>
      <c r="AW180" s="140"/>
      <c r="AX180" s="140"/>
      <c r="AY180" s="140"/>
      <c r="AZ180" s="140"/>
      <c r="BA180" s="140"/>
      <c r="BB180" s="140"/>
      <c r="BC180" s="140"/>
      <c r="BD180" s="140"/>
      <c r="BE180" s="140"/>
      <c r="BF180" s="140"/>
      <c r="BG180" s="140"/>
      <c r="BH180" s="140"/>
      <c r="BI180" s="140"/>
      <c r="BJ180" s="140"/>
      <c r="BK180" s="140"/>
      <c r="BL180" s="140"/>
      <c r="BM180" s="140"/>
      <c r="BN180" s="140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</row>
    <row r="181" spans="1:200" ht="15" customHeight="1" x14ac:dyDescent="0.2">
      <c r="A181" s="18"/>
      <c r="B181" s="18" t="str">
        <f t="shared" si="5"/>
        <v/>
      </c>
      <c r="C181" s="29" t="str">
        <f>IF(OR(Client_Info!$D$14="",Client_Info!$D$15=""),"",IF(EOMONTH(Client_Info!$D$14,173)&lt;=Client_Info!$D$15,EOMONTH(Client_Info!$D$14,173),""))</f>
        <v/>
      </c>
      <c r="D181" s="138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9"/>
      <c r="AU181" s="140"/>
      <c r="AV181" s="140"/>
      <c r="AW181" s="140"/>
      <c r="AX181" s="140"/>
      <c r="AY181" s="140"/>
      <c r="AZ181" s="140"/>
      <c r="BA181" s="140"/>
      <c r="BB181" s="140"/>
      <c r="BC181" s="140"/>
      <c r="BD181" s="140"/>
      <c r="BE181" s="140"/>
      <c r="BF181" s="140"/>
      <c r="BG181" s="140"/>
      <c r="BH181" s="140"/>
      <c r="BI181" s="140"/>
      <c r="BJ181" s="140"/>
      <c r="BK181" s="140"/>
      <c r="BL181" s="140"/>
      <c r="BM181" s="140"/>
      <c r="BN181" s="140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</row>
    <row r="182" spans="1:200" ht="15" customHeight="1" x14ac:dyDescent="0.2">
      <c r="A182" s="18"/>
      <c r="B182" s="18" t="str">
        <f t="shared" si="5"/>
        <v/>
      </c>
      <c r="C182" s="29" t="str">
        <f>IF(OR(Client_Info!$D$14="",Client_Info!$D$15=""),"",IF(EOMONTH(Client_Info!$D$14,174)&lt;=Client_Info!$D$15,EOMONTH(Client_Info!$D$14,174),""))</f>
        <v/>
      </c>
      <c r="D182" s="138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9"/>
      <c r="AU182" s="140"/>
      <c r="AV182" s="140"/>
      <c r="AW182" s="140"/>
      <c r="AX182" s="140"/>
      <c r="AY182" s="140"/>
      <c r="AZ182" s="140"/>
      <c r="BA182" s="140"/>
      <c r="BB182" s="140"/>
      <c r="BC182" s="140"/>
      <c r="BD182" s="140"/>
      <c r="BE182" s="140"/>
      <c r="BF182" s="140"/>
      <c r="BG182" s="140"/>
      <c r="BH182" s="140"/>
      <c r="BI182" s="140"/>
      <c r="BJ182" s="140"/>
      <c r="BK182" s="140"/>
      <c r="BL182" s="140"/>
      <c r="BM182" s="140"/>
      <c r="BN182" s="140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</row>
    <row r="183" spans="1:200" ht="15" customHeight="1" x14ac:dyDescent="0.2">
      <c r="A183" s="18"/>
      <c r="B183" s="18" t="str">
        <f t="shared" si="5"/>
        <v/>
      </c>
      <c r="C183" s="29" t="str">
        <f>IF(OR(Client_Info!$D$14="",Client_Info!$D$15=""),"",IF(EOMONTH(Client_Info!$D$14,175)&lt;=Client_Info!$D$15,EOMONTH(Client_Info!$D$14,175),""))</f>
        <v/>
      </c>
      <c r="D183" s="138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9"/>
      <c r="AU183" s="140"/>
      <c r="AV183" s="140"/>
      <c r="AW183" s="140"/>
      <c r="AX183" s="140"/>
      <c r="AY183" s="140"/>
      <c r="AZ183" s="140"/>
      <c r="BA183" s="140"/>
      <c r="BB183" s="140"/>
      <c r="BC183" s="140"/>
      <c r="BD183" s="140"/>
      <c r="BE183" s="140"/>
      <c r="BF183" s="140"/>
      <c r="BG183" s="140"/>
      <c r="BH183" s="140"/>
      <c r="BI183" s="140"/>
      <c r="BJ183" s="140"/>
      <c r="BK183" s="140"/>
      <c r="BL183" s="140"/>
      <c r="BM183" s="140"/>
      <c r="BN183" s="140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</row>
    <row r="184" spans="1:200" ht="15" customHeight="1" x14ac:dyDescent="0.2">
      <c r="A184" s="18"/>
      <c r="B184" s="18" t="str">
        <f t="shared" si="5"/>
        <v/>
      </c>
      <c r="C184" s="29" t="str">
        <f>IF(OR(Client_Info!$D$14="",Client_Info!$D$15=""),"",IF(EOMONTH(Client_Info!$D$14,176)&lt;=Client_Info!$D$15,EOMONTH(Client_Info!$D$14,176),""))</f>
        <v/>
      </c>
      <c r="D184" s="138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9"/>
      <c r="AU184" s="140"/>
      <c r="AV184" s="140"/>
      <c r="AW184" s="140"/>
      <c r="AX184" s="140"/>
      <c r="AY184" s="140"/>
      <c r="AZ184" s="140"/>
      <c r="BA184" s="140"/>
      <c r="BB184" s="140"/>
      <c r="BC184" s="140"/>
      <c r="BD184" s="140"/>
      <c r="BE184" s="140"/>
      <c r="BF184" s="140"/>
      <c r="BG184" s="140"/>
      <c r="BH184" s="140"/>
      <c r="BI184" s="140"/>
      <c r="BJ184" s="140"/>
      <c r="BK184" s="140"/>
      <c r="BL184" s="140"/>
      <c r="BM184" s="140"/>
      <c r="BN184" s="140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</row>
    <row r="185" spans="1:200" ht="15" customHeight="1" x14ac:dyDescent="0.2">
      <c r="A185" s="18"/>
      <c r="B185" s="18" t="str">
        <f t="shared" si="5"/>
        <v/>
      </c>
      <c r="C185" s="29" t="str">
        <f>IF(OR(Client_Info!$D$14="",Client_Info!$D$15=""),"",IF(EOMONTH(Client_Info!$D$14,177)&lt;=Client_Info!$D$15,EOMONTH(Client_Info!$D$14,177),""))</f>
        <v/>
      </c>
      <c r="D185" s="138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9"/>
      <c r="AU185" s="140"/>
      <c r="AV185" s="140"/>
      <c r="AW185" s="140"/>
      <c r="AX185" s="140"/>
      <c r="AY185" s="140"/>
      <c r="AZ185" s="140"/>
      <c r="BA185" s="140"/>
      <c r="BB185" s="140"/>
      <c r="BC185" s="140"/>
      <c r="BD185" s="140"/>
      <c r="BE185" s="140"/>
      <c r="BF185" s="140"/>
      <c r="BG185" s="140"/>
      <c r="BH185" s="140"/>
      <c r="BI185" s="140"/>
      <c r="BJ185" s="140"/>
      <c r="BK185" s="140"/>
      <c r="BL185" s="140"/>
      <c r="BM185" s="140"/>
      <c r="BN185" s="140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</row>
    <row r="186" spans="1:200" ht="15" customHeight="1" x14ac:dyDescent="0.2">
      <c r="A186" s="18"/>
      <c r="B186" s="18" t="str">
        <f t="shared" si="5"/>
        <v/>
      </c>
      <c r="C186" s="29" t="str">
        <f>IF(OR(Client_Info!$D$14="",Client_Info!$D$15=""),"",IF(EOMONTH(Client_Info!$D$14,178)&lt;=Client_Info!$D$15,EOMONTH(Client_Info!$D$14,178),""))</f>
        <v/>
      </c>
      <c r="D186" s="138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9"/>
      <c r="AU186" s="140"/>
      <c r="AV186" s="140"/>
      <c r="AW186" s="140"/>
      <c r="AX186" s="140"/>
      <c r="AY186" s="140"/>
      <c r="AZ186" s="140"/>
      <c r="BA186" s="140"/>
      <c r="BB186" s="140"/>
      <c r="BC186" s="140"/>
      <c r="BD186" s="140"/>
      <c r="BE186" s="140"/>
      <c r="BF186" s="140"/>
      <c r="BG186" s="140"/>
      <c r="BH186" s="140"/>
      <c r="BI186" s="140"/>
      <c r="BJ186" s="140"/>
      <c r="BK186" s="140"/>
      <c r="BL186" s="140"/>
      <c r="BM186" s="140"/>
      <c r="BN186" s="140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</row>
    <row r="187" spans="1:200" ht="15" customHeight="1" x14ac:dyDescent="0.2">
      <c r="A187" s="18"/>
      <c r="B187" s="18" t="str">
        <f t="shared" si="5"/>
        <v/>
      </c>
      <c r="C187" s="29" t="str">
        <f>IF(OR(Client_Info!$D$14="",Client_Info!$D$15=""),"",IF(EOMONTH(Client_Info!$D$14,179)&lt;=Client_Info!$D$15,EOMONTH(Client_Info!$D$14,179),""))</f>
        <v/>
      </c>
      <c r="D187" s="138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9"/>
      <c r="AU187" s="140"/>
      <c r="AV187" s="140"/>
      <c r="AW187" s="140"/>
      <c r="AX187" s="140"/>
      <c r="AY187" s="140"/>
      <c r="AZ187" s="140"/>
      <c r="BA187" s="140"/>
      <c r="BB187" s="140"/>
      <c r="BC187" s="140"/>
      <c r="BD187" s="140"/>
      <c r="BE187" s="140"/>
      <c r="BF187" s="140"/>
      <c r="BG187" s="140"/>
      <c r="BH187" s="140"/>
      <c r="BI187" s="140"/>
      <c r="BJ187" s="140"/>
      <c r="BK187" s="140"/>
      <c r="BL187" s="140"/>
      <c r="BM187" s="140"/>
      <c r="BN187" s="140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</row>
    <row r="188" spans="1:200" ht="15" customHeight="1" x14ac:dyDescent="0.2">
      <c r="A188" s="18"/>
      <c r="B188" s="18"/>
      <c r="C188" s="29"/>
      <c r="D188" s="120"/>
      <c r="E188" s="120"/>
      <c r="F188" s="120"/>
      <c r="G188" s="120"/>
      <c r="H188" s="120"/>
      <c r="I188" s="120"/>
      <c r="J188" s="120"/>
      <c r="K188" s="120"/>
      <c r="L188" s="120"/>
      <c r="M188" s="120"/>
      <c r="N188" s="120"/>
      <c r="O188" s="120"/>
      <c r="P188" s="120"/>
      <c r="Q188" s="120"/>
      <c r="R188" s="120"/>
      <c r="S188" s="120"/>
      <c r="T188" s="120"/>
      <c r="U188" s="120"/>
      <c r="V188" s="120"/>
      <c r="W188" s="120"/>
      <c r="X188" s="120"/>
      <c r="Y188" s="120"/>
      <c r="Z188" s="120"/>
      <c r="AA188" s="120"/>
      <c r="AB188" s="120"/>
      <c r="AC188" s="120"/>
      <c r="AD188" s="120"/>
      <c r="AE188" s="120"/>
      <c r="AF188" s="120"/>
      <c r="AG188" s="120"/>
      <c r="AH188" s="120"/>
      <c r="AI188" s="120"/>
      <c r="AJ188" s="120"/>
      <c r="AK188" s="120"/>
      <c r="AL188" s="120"/>
      <c r="AM188" s="120"/>
      <c r="AN188" s="120"/>
      <c r="AO188" s="120"/>
      <c r="AP188" s="120"/>
      <c r="AQ188" s="120"/>
      <c r="AR188" s="120"/>
      <c r="AS188" s="120"/>
      <c r="AT188" s="10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</row>
    <row r="189" spans="1:200" ht="15" customHeight="1" x14ac:dyDescent="0.2">
      <c r="A189" s="18"/>
      <c r="B189" s="18"/>
      <c r="C189" s="29"/>
      <c r="D189" s="120"/>
      <c r="E189" s="120"/>
      <c r="F189" s="120"/>
      <c r="G189" s="120"/>
      <c r="H189" s="120"/>
      <c r="I189" s="120"/>
      <c r="J189" s="120"/>
      <c r="K189" s="120"/>
      <c r="L189" s="120"/>
      <c r="M189" s="120"/>
      <c r="N189" s="120"/>
      <c r="O189" s="120"/>
      <c r="P189" s="120"/>
      <c r="Q189" s="120"/>
      <c r="R189" s="120"/>
      <c r="S189" s="120"/>
      <c r="T189" s="120"/>
      <c r="U189" s="120"/>
      <c r="V189" s="120"/>
      <c r="W189" s="120"/>
      <c r="X189" s="120"/>
      <c r="Y189" s="120"/>
      <c r="Z189" s="120"/>
      <c r="AA189" s="120"/>
      <c r="AB189" s="120"/>
      <c r="AC189" s="120"/>
      <c r="AD189" s="120"/>
      <c r="AE189" s="120"/>
      <c r="AF189" s="120"/>
      <c r="AG189" s="120"/>
      <c r="AH189" s="120"/>
      <c r="AI189" s="120"/>
      <c r="AJ189" s="120"/>
      <c r="AK189" s="120"/>
      <c r="AL189" s="120"/>
      <c r="AM189" s="120"/>
      <c r="AN189" s="120"/>
      <c r="AO189" s="120"/>
      <c r="AP189" s="120"/>
      <c r="AQ189" s="120"/>
      <c r="AR189" s="120"/>
      <c r="AS189" s="120"/>
      <c r="AT189" s="10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</row>
    <row r="190" spans="1:200" ht="15" customHeight="1" x14ac:dyDescent="0.2">
      <c r="A190" s="18"/>
      <c r="B190" s="18"/>
      <c r="C190" s="2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</row>
    <row r="191" spans="1:200" ht="1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</row>
    <row r="192" spans="1:200" ht="1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</row>
    <row r="193" spans="1:200" ht="1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</row>
    <row r="194" spans="1:200" ht="1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</row>
    <row r="195" spans="1:200" ht="1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</row>
    <row r="196" spans="1:200" ht="1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</row>
    <row r="197" spans="1:200" ht="1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</row>
    <row r="198" spans="1:200" ht="1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</row>
    <row r="199" spans="1:200" ht="1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</row>
    <row r="200" spans="1:200" ht="1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</row>
    <row r="201" spans="1:200" ht="1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</row>
    <row r="202" spans="1:200" ht="1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</row>
    <row r="203" spans="1:200" ht="1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</row>
    <row r="204" spans="1:200" ht="1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</row>
    <row r="205" spans="1:200" ht="1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</row>
    <row r="206" spans="1:200" ht="1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</row>
    <row r="207" spans="1:200" ht="1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</row>
    <row r="208" spans="1:200" ht="1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</row>
    <row r="209" spans="1:200" ht="1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</row>
    <row r="210" spans="1:200" ht="1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</row>
    <row r="211" spans="1:200" ht="1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</row>
    <row r="212" spans="1:200" ht="1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</row>
    <row r="213" spans="1:200" ht="1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</row>
    <row r="214" spans="1:200" ht="1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</row>
    <row r="215" spans="1:200" ht="1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</row>
    <row r="216" spans="1:200" ht="1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</row>
    <row r="217" spans="1:200" ht="1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</row>
    <row r="218" spans="1:200" ht="1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</row>
    <row r="219" spans="1:200" ht="1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</row>
    <row r="220" spans="1:200" ht="1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</row>
    <row r="221" spans="1:200" ht="1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</row>
    <row r="222" spans="1:200" ht="1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</row>
    <row r="223" spans="1:200" ht="1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</row>
    <row r="224" spans="1:200" ht="1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</row>
    <row r="225" spans="1:200" ht="1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</row>
    <row r="226" spans="1:200" ht="1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</row>
    <row r="227" spans="1:200" ht="1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</row>
    <row r="228" spans="1:200" ht="1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</row>
    <row r="229" spans="1:200" ht="1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</row>
    <row r="230" spans="1:200" ht="1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</row>
    <row r="231" spans="1:200" ht="1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</row>
    <row r="232" spans="1:200" ht="1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</row>
    <row r="233" spans="1:200" ht="1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</row>
    <row r="234" spans="1:200" ht="1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</row>
    <row r="235" spans="1:200" ht="1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</row>
    <row r="236" spans="1:200" ht="1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</row>
    <row r="237" spans="1:200" ht="1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</row>
    <row r="238" spans="1:200" ht="1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</row>
    <row r="239" spans="1:200" ht="1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</row>
    <row r="240" spans="1:200" ht="1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</row>
    <row r="241" spans="1:200" ht="1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</row>
    <row r="242" spans="1:200" ht="1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</row>
    <row r="243" spans="1:200" ht="1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</row>
    <row r="244" spans="1:200" ht="1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</row>
    <row r="245" spans="1:200" ht="1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</row>
    <row r="246" spans="1:200" ht="1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</row>
    <row r="247" spans="1:200" ht="1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</row>
    <row r="248" spans="1:200" ht="1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</row>
    <row r="249" spans="1:200" ht="1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</row>
    <row r="250" spans="1:200" ht="1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</row>
    <row r="251" spans="1:200" ht="1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</row>
    <row r="252" spans="1:200" ht="1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</row>
    <row r="253" spans="1:200" ht="1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</row>
    <row r="254" spans="1:200" ht="1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</row>
    <row r="255" spans="1:200" ht="1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</row>
    <row r="256" spans="1:200" ht="1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</row>
    <row r="257" spans="1:200" ht="1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</row>
    <row r="258" spans="1:200" ht="1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</row>
    <row r="259" spans="1:200" ht="1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</row>
    <row r="260" spans="1:200" ht="1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</row>
    <row r="261" spans="1:200" ht="1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</row>
    <row r="262" spans="1:200" ht="1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</row>
    <row r="263" spans="1:200" ht="1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</row>
    <row r="264" spans="1:200" ht="1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</row>
    <row r="265" spans="1:200" ht="1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</row>
    <row r="266" spans="1:200" ht="1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</row>
    <row r="267" spans="1:200" ht="1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</row>
    <row r="268" spans="1:200" ht="1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</row>
    <row r="269" spans="1:200" ht="1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</row>
    <row r="270" spans="1:200" ht="1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</row>
    <row r="271" spans="1:200" ht="1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</row>
    <row r="272" spans="1:200" ht="1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</row>
    <row r="273" spans="1:200" ht="1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</row>
    <row r="274" spans="1:200" ht="1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</row>
    <row r="275" spans="1:200" ht="1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</row>
    <row r="276" spans="1:200" ht="1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</row>
    <row r="277" spans="1:200" ht="1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</row>
    <row r="278" spans="1:200" ht="1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</row>
    <row r="279" spans="1:200" ht="1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</row>
    <row r="280" spans="1:200" ht="1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</row>
    <row r="281" spans="1:200" ht="1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</row>
    <row r="282" spans="1:200" ht="1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</row>
    <row r="283" spans="1:200" ht="1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</row>
    <row r="284" spans="1:200" ht="1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</row>
    <row r="285" spans="1:200" ht="1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</row>
    <row r="286" spans="1:200" ht="1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</row>
    <row r="287" spans="1:200" ht="1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</row>
    <row r="288" spans="1:200" ht="1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</row>
    <row r="289" spans="1:200" ht="1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</row>
    <row r="290" spans="1:200" ht="1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</row>
    <row r="291" spans="1:200" ht="1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</row>
    <row r="292" spans="1:200" ht="1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</row>
    <row r="293" spans="1:200" ht="1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</row>
    <row r="294" spans="1:200" ht="1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</row>
    <row r="295" spans="1:200" ht="1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</row>
    <row r="296" spans="1:200" ht="1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</row>
    <row r="297" spans="1:200" ht="1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</row>
    <row r="298" spans="1:200" ht="1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</row>
    <row r="299" spans="1:200" ht="1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</row>
    <row r="300" spans="1:200" ht="1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</row>
    <row r="301" spans="1:200" ht="1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</row>
    <row r="302" spans="1:200" ht="1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</row>
    <row r="303" spans="1:200" ht="1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</row>
    <row r="304" spans="1:200" ht="1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</row>
    <row r="305" spans="1:200" ht="1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</row>
    <row r="306" spans="1:200" ht="1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</row>
    <row r="307" spans="1:200" ht="1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</row>
    <row r="308" spans="1:200" ht="1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</row>
    <row r="309" spans="1:200" ht="1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</row>
    <row r="310" spans="1:200" ht="1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</row>
    <row r="311" spans="1:200" ht="1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</row>
    <row r="312" spans="1:200" ht="1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</row>
    <row r="313" spans="1:200" ht="1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</row>
    <row r="314" spans="1:200" ht="1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</row>
    <row r="315" spans="1:200" ht="1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</row>
    <row r="316" spans="1:200" ht="1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</row>
    <row r="317" spans="1:200" ht="1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</row>
    <row r="318" spans="1:200" ht="1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</row>
    <row r="319" spans="1:200" ht="1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</row>
    <row r="320" spans="1:200" ht="1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</row>
    <row r="321" spans="1:200" ht="1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</row>
    <row r="322" spans="1:200" ht="1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</row>
    <row r="323" spans="1:200" ht="1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</row>
    <row r="324" spans="1:200" ht="1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</row>
    <row r="325" spans="1:200" ht="1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</row>
    <row r="326" spans="1:200" ht="1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</row>
    <row r="327" spans="1:200" ht="1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</row>
    <row r="328" spans="1:200" ht="1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</row>
    <row r="329" spans="1:200" ht="1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</row>
    <row r="330" spans="1:200" ht="1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</row>
    <row r="331" spans="1:200" ht="1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</row>
    <row r="332" spans="1:200" ht="1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</row>
    <row r="333" spans="1:200" ht="1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</row>
    <row r="334" spans="1:200" ht="1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</row>
    <row r="335" spans="1:200" ht="1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</row>
    <row r="336" spans="1:200" ht="1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</row>
    <row r="337" spans="1:200" ht="1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</row>
    <row r="338" spans="1:200" ht="1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</row>
    <row r="339" spans="1:200" ht="1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</row>
    <row r="340" spans="1:200" ht="1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</row>
    <row r="341" spans="1:200" ht="1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</row>
    <row r="342" spans="1:200" ht="1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</row>
    <row r="343" spans="1:200" ht="1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</row>
    <row r="344" spans="1:200" ht="1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</row>
    <row r="345" spans="1:200" ht="1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</row>
    <row r="346" spans="1:200" ht="1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</row>
    <row r="347" spans="1:200" ht="1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</row>
    <row r="348" spans="1:200" ht="1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</row>
    <row r="349" spans="1:200" ht="1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</row>
    <row r="350" spans="1:200" ht="1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</row>
    <row r="351" spans="1:200" ht="1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</row>
    <row r="352" spans="1:200" ht="1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</row>
    <row r="353" spans="1:200" ht="1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</row>
    <row r="354" spans="1:200" ht="1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</row>
    <row r="355" spans="1:200" ht="1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</row>
    <row r="356" spans="1:200" ht="1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</row>
    <row r="357" spans="1:200" ht="1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</row>
    <row r="358" spans="1:200" ht="1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</row>
    <row r="359" spans="1:200" ht="1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</row>
    <row r="360" spans="1:200" ht="1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</row>
    <row r="361" spans="1:200" ht="1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</row>
    <row r="362" spans="1:200" ht="1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</row>
    <row r="363" spans="1:200" ht="1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</row>
    <row r="364" spans="1:200" ht="1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</row>
    <row r="365" spans="1:200" ht="1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</row>
    <row r="366" spans="1:200" ht="1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</row>
    <row r="367" spans="1:200" ht="1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</row>
    <row r="368" spans="1:200" ht="1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</row>
    <row r="369" spans="1:200" ht="1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</row>
    <row r="370" spans="1:200" ht="1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</row>
    <row r="371" spans="1:200" ht="1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</row>
    <row r="372" spans="1:200" ht="1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</row>
    <row r="373" spans="1:200" ht="1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</row>
    <row r="374" spans="1:200" ht="1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</row>
    <row r="375" spans="1:200" ht="1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</row>
    <row r="376" spans="1:200" ht="1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</row>
    <row r="377" spans="1:200" ht="1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</row>
    <row r="378" spans="1:200" ht="1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</row>
    <row r="379" spans="1:200" ht="1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</row>
    <row r="380" spans="1:200" ht="1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</row>
    <row r="381" spans="1:200" ht="1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</row>
    <row r="382" spans="1:200" ht="1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</row>
    <row r="383" spans="1:200" ht="1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</row>
    <row r="384" spans="1:200" ht="1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</row>
    <row r="385" spans="1:200" ht="1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</row>
    <row r="386" spans="1:200" ht="1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</row>
    <row r="387" spans="1:200" ht="1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</row>
    <row r="388" spans="1:200" ht="1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</row>
    <row r="389" spans="1:200" ht="1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</row>
    <row r="390" spans="1:200" ht="1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</row>
    <row r="391" spans="1:200" ht="1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</row>
    <row r="392" spans="1:200" ht="1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</row>
    <row r="393" spans="1:200" ht="1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</row>
    <row r="394" spans="1:200" ht="1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</row>
    <row r="395" spans="1:200" ht="1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</row>
    <row r="396" spans="1:200" ht="1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</row>
    <row r="397" spans="1:200" ht="1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</row>
    <row r="398" spans="1:200" ht="1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</row>
    <row r="399" spans="1:200" ht="1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</row>
    <row r="400" spans="1:200" ht="1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</row>
    <row r="401" spans="1:200" ht="1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</row>
    <row r="402" spans="1:200" ht="1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</row>
    <row r="403" spans="1:200" ht="1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</row>
    <row r="404" spans="1:200" ht="1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</row>
    <row r="405" spans="1:200" ht="1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</row>
    <row r="406" spans="1:200" ht="1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</row>
    <row r="407" spans="1:200" ht="1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</row>
    <row r="408" spans="1:200" ht="1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</row>
    <row r="409" spans="1:200" ht="1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</row>
    <row r="410" spans="1:200" ht="1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</row>
    <row r="411" spans="1:200" ht="1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</row>
    <row r="412" spans="1:200" ht="1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</row>
    <row r="413" spans="1:200" ht="1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</row>
    <row r="414" spans="1:200" ht="1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</row>
    <row r="415" spans="1:200" ht="1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</row>
    <row r="416" spans="1:200" ht="1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</row>
    <row r="417" spans="1:200" ht="1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</row>
    <row r="418" spans="1:200" ht="1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</row>
    <row r="419" spans="1:200" ht="1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</row>
    <row r="420" spans="1:200" ht="1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</row>
    <row r="421" spans="1:200" ht="1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</row>
    <row r="422" spans="1:200" ht="1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</row>
    <row r="423" spans="1:200" ht="1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</row>
    <row r="424" spans="1:200" ht="1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</row>
    <row r="425" spans="1:200" ht="1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</row>
    <row r="426" spans="1:200" ht="1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</row>
    <row r="427" spans="1:200" ht="1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</row>
    <row r="428" spans="1:200" ht="1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</row>
    <row r="429" spans="1:200" ht="1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</row>
    <row r="430" spans="1:200" ht="1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</row>
    <row r="431" spans="1:200" ht="1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</row>
    <row r="432" spans="1:200" ht="1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</row>
    <row r="433" spans="1:200" ht="1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</row>
    <row r="434" spans="1:200" ht="1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</row>
    <row r="435" spans="1:200" ht="1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</row>
    <row r="436" spans="1:200" ht="1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</row>
    <row r="437" spans="1:200" ht="1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</row>
    <row r="438" spans="1:200" ht="1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</row>
    <row r="439" spans="1:200" ht="1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</row>
    <row r="440" spans="1:200" ht="1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</row>
    <row r="441" spans="1:200" ht="1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</row>
    <row r="442" spans="1:200" ht="1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</row>
    <row r="443" spans="1:200" ht="1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</row>
    <row r="444" spans="1:200" ht="1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</row>
    <row r="445" spans="1:200" ht="1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</row>
    <row r="446" spans="1:200" ht="1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</row>
    <row r="447" spans="1:200" ht="1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</row>
    <row r="448" spans="1:200" ht="1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</row>
    <row r="449" spans="1:200" ht="1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</row>
    <row r="450" spans="1:200" ht="1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</row>
    <row r="451" spans="1:200" ht="1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</row>
    <row r="452" spans="1:200" ht="1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</row>
    <row r="453" spans="1:200" ht="1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</row>
    <row r="454" spans="1:200" ht="1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</row>
    <row r="455" spans="1:200" ht="1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</row>
    <row r="456" spans="1:200" ht="1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</row>
    <row r="457" spans="1:200" ht="1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</row>
    <row r="458" spans="1:200" ht="1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</row>
    <row r="459" spans="1:200" ht="1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</row>
    <row r="460" spans="1:200" ht="1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</row>
    <row r="461" spans="1:200" ht="1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</row>
    <row r="462" spans="1:200" ht="1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</row>
    <row r="463" spans="1:200" ht="1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</row>
    <row r="464" spans="1:200" ht="1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</row>
    <row r="465" spans="1:200" ht="1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</row>
    <row r="466" spans="1:200" ht="1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</row>
    <row r="467" spans="1:200" ht="1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</row>
    <row r="468" spans="1:200" ht="1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</row>
    <row r="469" spans="1:200" ht="1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</row>
    <row r="470" spans="1:200" ht="1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</row>
    <row r="471" spans="1:200" ht="1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</row>
    <row r="472" spans="1:200" ht="1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</row>
    <row r="473" spans="1:200" ht="1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</row>
    <row r="474" spans="1:200" ht="1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</row>
    <row r="475" spans="1:200" ht="1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</row>
    <row r="476" spans="1:200" ht="1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</row>
    <row r="477" spans="1:200" ht="1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</row>
    <row r="478" spans="1:200" ht="1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</row>
    <row r="479" spans="1:200" ht="1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</row>
    <row r="480" spans="1:200" ht="1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</row>
    <row r="481" spans="1:200" ht="1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</row>
    <row r="482" spans="1:200" ht="1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</row>
    <row r="483" spans="1:200" ht="1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</row>
    <row r="484" spans="1:200" ht="1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</row>
    <row r="485" spans="1:200" ht="1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</row>
    <row r="486" spans="1:200" ht="1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</row>
    <row r="487" spans="1:200" ht="1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</row>
    <row r="488" spans="1:200" ht="1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</row>
    <row r="489" spans="1:200" ht="1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</row>
    <row r="490" spans="1:200" ht="1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</row>
    <row r="491" spans="1:200" ht="1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</row>
    <row r="492" spans="1:200" ht="1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</row>
    <row r="493" spans="1:200" ht="1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</row>
    <row r="494" spans="1:200" ht="1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</row>
    <row r="495" spans="1:200" ht="1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</row>
    <row r="496" spans="1:200" ht="1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</row>
    <row r="497" spans="1:200" ht="1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</row>
    <row r="498" spans="1:200" ht="1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</row>
    <row r="499" spans="1:200" ht="1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</row>
    <row r="500" spans="1:200" ht="1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</row>
  </sheetData>
  <sheetProtection sheet="1"/>
  <conditionalFormatting sqref="D8:AS187">
    <cfRule type="expression" dxfId="0" priority="1">
      <formula>AND($C8&lt;&gt;"",D8="",D$5&lt;&gt;"")</formula>
    </cfRule>
  </conditionalFormatting>
  <pageMargins left="0.75" right="0.75" top="1" bottom="1" header="0.511811023622047" footer="0.511811023622047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 tint="0.249977111117893"/>
  </sheetPr>
  <dimension ref="A1:GR500"/>
  <sheetViews>
    <sheetView showGridLines="0" zoomScale="125" zoomScaleNormal="100" workbookViewId="0">
      <selection activeCell="H17" sqref="H17"/>
    </sheetView>
  </sheetViews>
  <sheetFormatPr baseColWidth="10" defaultColWidth="8.83203125" defaultRowHeight="20" customHeight="1" x14ac:dyDescent="0.2"/>
  <cols>
    <col min="1" max="1" width="2" customWidth="1"/>
    <col min="2" max="2" width="5" customWidth="1"/>
    <col min="3" max="3" width="70" customWidth="1"/>
    <col min="4" max="4" width="5" customWidth="1"/>
    <col min="5" max="5" width="8.83203125" customWidth="1"/>
  </cols>
  <sheetData>
    <row r="1" spans="1:200" ht="20" customHeight="1" thickBot="1" x14ac:dyDescent="0.25">
      <c r="A1" s="2"/>
      <c r="B1" s="2"/>
      <c r="C1" s="2"/>
      <c r="D1" s="2"/>
      <c r="E1" s="2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</row>
    <row r="2" spans="1:200" ht="20" customHeight="1" thickBot="1" x14ac:dyDescent="0.25">
      <c r="A2" s="2"/>
      <c r="B2" s="42" t="s">
        <v>28</v>
      </c>
      <c r="C2" s="43"/>
      <c r="D2" s="50"/>
      <c r="E2" s="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</row>
    <row r="3" spans="1:200" ht="20" customHeight="1" x14ac:dyDescent="0.2">
      <c r="A3" s="2"/>
      <c r="B3" s="8"/>
      <c r="C3" s="8"/>
      <c r="D3" s="2"/>
      <c r="E3" s="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</row>
    <row r="4" spans="1:200" ht="20" customHeight="1" x14ac:dyDescent="0.2">
      <c r="A4" s="2"/>
      <c r="B4" s="11" t="s">
        <v>29</v>
      </c>
      <c r="C4" s="9" t="s">
        <v>30</v>
      </c>
      <c r="D4" s="2"/>
      <c r="E4" s="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</row>
    <row r="5" spans="1:200" ht="20" customHeight="1" x14ac:dyDescent="0.2">
      <c r="A5" s="2"/>
      <c r="B5" s="11" t="s">
        <v>31</v>
      </c>
      <c r="C5" s="9" t="s">
        <v>32</v>
      </c>
      <c r="D5" s="2"/>
      <c r="E5" s="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</row>
    <row r="6" spans="1:200" ht="20" customHeight="1" x14ac:dyDescent="0.2">
      <c r="A6" s="2"/>
      <c r="B6" s="11" t="s">
        <v>33</v>
      </c>
      <c r="C6" s="9" t="s">
        <v>34</v>
      </c>
      <c r="D6" s="2"/>
      <c r="E6" s="2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</row>
    <row r="7" spans="1:200" ht="20" customHeight="1" x14ac:dyDescent="0.2">
      <c r="A7" s="2"/>
      <c r="B7" s="11" t="s">
        <v>35</v>
      </c>
      <c r="C7" s="9" t="s">
        <v>36</v>
      </c>
      <c r="D7" s="2"/>
      <c r="E7" s="2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</row>
    <row r="8" spans="1:200" ht="20" customHeight="1" x14ac:dyDescent="0.2">
      <c r="A8" s="2"/>
      <c r="B8" s="11" t="s">
        <v>37</v>
      </c>
      <c r="C8" s="9" t="s">
        <v>38</v>
      </c>
      <c r="D8" s="2"/>
      <c r="E8" s="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</row>
    <row r="9" spans="1:200" ht="20" customHeight="1" x14ac:dyDescent="0.2">
      <c r="A9" s="2"/>
      <c r="B9" s="11" t="s">
        <v>39</v>
      </c>
      <c r="C9" s="9" t="s">
        <v>40</v>
      </c>
      <c r="D9" s="2"/>
      <c r="E9" s="2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</row>
    <row r="10" spans="1:200" ht="20" customHeight="1" x14ac:dyDescent="0.2">
      <c r="A10" s="2"/>
      <c r="B10" s="11" t="s">
        <v>41</v>
      </c>
      <c r="C10" s="9" t="s">
        <v>42</v>
      </c>
      <c r="D10" s="2"/>
      <c r="E10" s="2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</row>
    <row r="11" spans="1:200" ht="20" customHeight="1" x14ac:dyDescent="0.2">
      <c r="A11" s="2"/>
      <c r="B11" s="11" t="s">
        <v>43</v>
      </c>
      <c r="C11" s="9" t="s">
        <v>44</v>
      </c>
      <c r="D11" s="2"/>
      <c r="E11" s="2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</row>
    <row r="12" spans="1:200" ht="20" customHeight="1" x14ac:dyDescent="0.2">
      <c r="A12" s="2"/>
      <c r="B12" s="11" t="s">
        <v>45</v>
      </c>
      <c r="C12" s="13" t="s">
        <v>46</v>
      </c>
      <c r="D12" s="2"/>
      <c r="E12" s="2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</row>
    <row r="13" spans="1:200" ht="20" customHeight="1" thickBot="1" x14ac:dyDescent="0.25">
      <c r="A13" s="2"/>
      <c r="B13" s="10" t="s">
        <v>47</v>
      </c>
      <c r="C13" s="10" t="s">
        <v>48</v>
      </c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</row>
    <row r="14" spans="1:200" ht="20" customHeight="1" thickBot="1" x14ac:dyDescent="0.25">
      <c r="A14" s="2"/>
      <c r="B14" s="42" t="s">
        <v>49</v>
      </c>
      <c r="C14" s="43" t="s">
        <v>50</v>
      </c>
      <c r="D14" s="50"/>
      <c r="E14" s="2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</row>
    <row r="15" spans="1:200" ht="20" customHeight="1" thickBot="1" x14ac:dyDescent="0.25">
      <c r="A15" s="2"/>
      <c r="B15" s="10" t="s">
        <v>51</v>
      </c>
      <c r="C15" s="10" t="s">
        <v>52</v>
      </c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</row>
    <row r="16" spans="1:200" ht="20" customHeight="1" thickBot="1" x14ac:dyDescent="0.25">
      <c r="A16" s="2"/>
      <c r="B16" s="30"/>
      <c r="C16" s="31" t="s">
        <v>53</v>
      </c>
      <c r="D16" s="2"/>
      <c r="E16" s="2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</row>
    <row r="17" spans="1:200" ht="20" customHeight="1" x14ac:dyDescent="0.2">
      <c r="A17" s="2"/>
      <c r="B17" s="8"/>
      <c r="C17" s="32" t="s">
        <v>54</v>
      </c>
      <c r="D17" s="2"/>
      <c r="E17" s="2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</row>
    <row r="18" spans="1:200" ht="20" customHeight="1" x14ac:dyDescent="0.2">
      <c r="A18" s="2"/>
      <c r="B18" s="8"/>
      <c r="C18" s="31" t="s">
        <v>55</v>
      </c>
      <c r="D18" s="2"/>
      <c r="E18" s="2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</row>
    <row r="19" spans="1:200" ht="20" customHeight="1" x14ac:dyDescent="0.2">
      <c r="A19" s="2"/>
      <c r="B19" s="8"/>
      <c r="C19" s="8"/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</row>
    <row r="20" spans="1:200" ht="20" customHeight="1" x14ac:dyDescent="0.2">
      <c r="A20" s="2"/>
      <c r="B20" s="2"/>
      <c r="C20" s="2"/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</row>
    <row r="21" spans="1:200" ht="20" customHeight="1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</row>
    <row r="22" spans="1:200" ht="20" customHeight="1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</row>
    <row r="23" spans="1:200" ht="20" customHeight="1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</row>
    <row r="24" spans="1:200" ht="20" customHeight="1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</row>
    <row r="25" spans="1:200" ht="20" customHeight="1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</row>
    <row r="26" spans="1:200" ht="20" customHeight="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</row>
    <row r="27" spans="1:200" ht="20" customHeight="1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</row>
    <row r="28" spans="1:200" ht="20" customHeight="1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</row>
    <row r="29" spans="1:200" ht="20" customHeight="1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</row>
    <row r="30" spans="1:200" ht="20" customHeight="1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</row>
    <row r="31" spans="1:200" ht="20" customHeight="1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</row>
    <row r="32" spans="1:200" ht="20" customHeight="1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</row>
    <row r="33" spans="1:200" ht="20" customHeight="1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</row>
    <row r="34" spans="1:200" ht="20" customHeight="1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</row>
    <row r="35" spans="1:200" ht="20" customHeight="1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</row>
    <row r="36" spans="1:200" ht="20" customHeight="1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</row>
    <row r="37" spans="1:200" ht="20" customHeight="1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</row>
    <row r="38" spans="1:200" ht="20" customHeight="1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</row>
    <row r="39" spans="1:200" ht="20" customHeight="1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</row>
    <row r="40" spans="1:200" ht="20" customHeight="1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</row>
    <row r="41" spans="1:200" ht="20" customHeight="1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</row>
    <row r="42" spans="1:200" ht="20" customHeight="1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</row>
    <row r="43" spans="1:200" ht="20" customHeight="1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</row>
    <row r="44" spans="1:200" ht="20" customHeight="1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</row>
    <row r="45" spans="1:200" ht="20" customHeight="1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</row>
    <row r="46" spans="1:200" ht="20" customHeight="1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</row>
    <row r="47" spans="1:200" ht="20" customHeight="1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</row>
    <row r="48" spans="1:200" ht="20" customHeight="1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</row>
    <row r="49" spans="1:200" ht="20" customHeight="1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</row>
    <row r="50" spans="1:200" ht="20" customHeight="1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</row>
    <row r="51" spans="1:200" ht="20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</row>
    <row r="52" spans="1:200" ht="20" customHeight="1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</row>
    <row r="53" spans="1:200" ht="20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</row>
    <row r="54" spans="1:200" ht="20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</row>
    <row r="55" spans="1:200" ht="20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</row>
    <row r="56" spans="1:200" ht="20" customHeight="1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</row>
    <row r="57" spans="1:200" ht="20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</row>
    <row r="58" spans="1:200" ht="20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</row>
    <row r="59" spans="1:200" ht="20" customHeight="1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</row>
    <row r="60" spans="1:200" ht="20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</row>
    <row r="61" spans="1:200" ht="20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</row>
    <row r="62" spans="1:200" ht="20" customHeight="1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</row>
    <row r="63" spans="1:200" ht="20" customHeight="1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</row>
    <row r="64" spans="1:200" ht="20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</row>
    <row r="65" spans="1:200" ht="20" customHeight="1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</row>
    <row r="66" spans="1:200" ht="20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</row>
    <row r="67" spans="1:200" ht="20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</row>
    <row r="68" spans="1:200" ht="20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</row>
    <row r="69" spans="1:200" ht="20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</row>
    <row r="70" spans="1:200" ht="20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</row>
    <row r="71" spans="1:200" ht="20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</row>
    <row r="72" spans="1:200" ht="20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</row>
    <row r="73" spans="1:200" ht="20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</row>
    <row r="74" spans="1:200" ht="20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</row>
    <row r="75" spans="1:200" ht="20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</row>
    <row r="76" spans="1:200" ht="20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</row>
    <row r="77" spans="1:200" ht="20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</row>
    <row r="78" spans="1:200" ht="20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</row>
    <row r="79" spans="1:200" ht="20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</row>
    <row r="80" spans="1:200" ht="20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</row>
    <row r="81" spans="1:200" ht="20" customHeight="1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</row>
    <row r="82" spans="1:200" ht="20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</row>
    <row r="83" spans="1:200" ht="20" customHeight="1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</row>
    <row r="84" spans="1:200" ht="20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</row>
    <row r="85" spans="1:200" ht="20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</row>
    <row r="86" spans="1:200" ht="20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</row>
    <row r="87" spans="1:200" ht="20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</row>
    <row r="88" spans="1:200" ht="20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</row>
    <row r="89" spans="1:200" ht="20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</row>
    <row r="90" spans="1:200" ht="20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</row>
    <row r="91" spans="1:200" ht="20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</row>
    <row r="92" spans="1:200" ht="20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</row>
    <row r="93" spans="1:200" ht="20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</row>
    <row r="94" spans="1:200" ht="20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</row>
    <row r="95" spans="1:200" ht="20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</row>
    <row r="96" spans="1:200" ht="20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</row>
    <row r="97" spans="1:200" ht="20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</row>
    <row r="98" spans="1:200" ht="20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</row>
    <row r="99" spans="1:200" ht="20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</row>
    <row r="100" spans="1:200" ht="20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</row>
    <row r="101" spans="1:200" ht="20" customHeight="1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</row>
    <row r="102" spans="1:200" ht="20" customHeight="1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</row>
    <row r="103" spans="1:200" ht="20" customHeight="1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</row>
    <row r="104" spans="1:200" ht="20" customHeight="1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</row>
    <row r="105" spans="1:200" ht="20" customHeight="1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</row>
    <row r="106" spans="1:200" ht="20" customHeight="1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</row>
    <row r="107" spans="1:200" ht="20" customHeight="1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</row>
    <row r="108" spans="1:200" ht="20" customHeight="1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</row>
    <row r="109" spans="1:200" ht="20" customHeight="1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</row>
    <row r="110" spans="1:200" ht="20" customHeight="1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</row>
    <row r="111" spans="1:200" ht="20" customHeight="1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</row>
    <row r="112" spans="1:200" ht="20" customHeight="1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</row>
    <row r="113" spans="1:200" ht="20" customHeight="1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</row>
    <row r="114" spans="1:200" ht="20" customHeight="1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</row>
    <row r="115" spans="1:200" ht="20" customHeight="1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</row>
    <row r="116" spans="1:200" ht="20" customHeight="1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</row>
    <row r="117" spans="1:200" ht="20" customHeight="1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</row>
    <row r="118" spans="1:200" ht="20" customHeight="1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</row>
    <row r="119" spans="1:200" ht="20" customHeight="1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</row>
    <row r="120" spans="1:200" ht="20" customHeight="1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</row>
    <row r="121" spans="1:200" ht="20" customHeight="1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</row>
    <row r="122" spans="1:200" ht="20" customHeight="1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</row>
    <row r="123" spans="1:200" ht="20" customHeight="1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</row>
    <row r="124" spans="1:200" ht="20" customHeight="1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</row>
    <row r="125" spans="1:200" ht="20" customHeight="1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</row>
    <row r="126" spans="1:200" ht="20" customHeight="1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</row>
    <row r="127" spans="1:200" ht="20" customHeight="1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</row>
    <row r="128" spans="1:200" ht="20" customHeight="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</row>
    <row r="129" spans="1:200" ht="20" customHeight="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</row>
    <row r="130" spans="1:200" ht="20" customHeight="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</row>
    <row r="131" spans="1:200" ht="20" customHeight="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</row>
    <row r="132" spans="1:200" ht="20" customHeight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</row>
    <row r="133" spans="1:200" ht="20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</row>
    <row r="134" spans="1:200" ht="20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</row>
    <row r="135" spans="1:200" ht="20" customHeight="1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</row>
    <row r="136" spans="1:200" ht="20" customHeight="1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</row>
    <row r="137" spans="1:200" ht="20" customHeight="1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</row>
    <row r="138" spans="1:200" ht="20" customHeight="1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</row>
    <row r="139" spans="1:200" ht="20" customHeight="1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</row>
    <row r="140" spans="1:200" ht="20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</row>
    <row r="141" spans="1:200" ht="20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</row>
    <row r="142" spans="1:200" ht="20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</row>
    <row r="143" spans="1:200" ht="20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</row>
    <row r="144" spans="1:200" ht="20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</row>
    <row r="145" spans="1:200" ht="20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</row>
    <row r="146" spans="1:200" ht="20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</row>
    <row r="147" spans="1:200" ht="20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</row>
    <row r="148" spans="1:200" ht="20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</row>
    <row r="149" spans="1:200" ht="20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</row>
    <row r="150" spans="1:200" ht="20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</row>
    <row r="151" spans="1:200" ht="20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</row>
    <row r="152" spans="1:200" ht="20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</row>
    <row r="153" spans="1:200" ht="20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</row>
    <row r="154" spans="1:200" ht="20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</row>
    <row r="155" spans="1:200" ht="20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</row>
    <row r="156" spans="1:200" ht="20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</row>
    <row r="157" spans="1:200" ht="20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</row>
    <row r="158" spans="1:200" ht="20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</row>
    <row r="159" spans="1:200" ht="20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</row>
    <row r="160" spans="1:200" ht="20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</row>
    <row r="161" spans="1:200" ht="20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</row>
    <row r="162" spans="1:200" ht="20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</row>
    <row r="163" spans="1:200" ht="20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</row>
    <row r="164" spans="1:200" ht="20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</row>
    <row r="165" spans="1:200" ht="20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</row>
    <row r="166" spans="1:200" ht="20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</row>
    <row r="167" spans="1:200" ht="20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</row>
    <row r="168" spans="1:200" ht="20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</row>
    <row r="169" spans="1:200" ht="20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</row>
    <row r="170" spans="1:200" ht="20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</row>
    <row r="171" spans="1:200" ht="20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</row>
    <row r="172" spans="1:200" ht="20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</row>
    <row r="173" spans="1:200" ht="20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</row>
    <row r="174" spans="1:200" ht="20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</row>
    <row r="175" spans="1:200" ht="20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</row>
    <row r="176" spans="1:200" ht="20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</row>
    <row r="177" spans="1:200" ht="20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</row>
    <row r="178" spans="1:200" ht="20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</row>
    <row r="179" spans="1:200" ht="20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</row>
    <row r="180" spans="1:200" ht="20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</row>
    <row r="181" spans="1:200" ht="20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</row>
    <row r="182" spans="1:200" ht="20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</row>
    <row r="183" spans="1:200" ht="20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</row>
    <row r="184" spans="1:200" ht="20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</row>
    <row r="185" spans="1:200" ht="20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</row>
    <row r="186" spans="1:200" ht="20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</row>
    <row r="187" spans="1:200" ht="20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</row>
    <row r="188" spans="1:200" ht="20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</row>
    <row r="189" spans="1:200" ht="20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</row>
    <row r="190" spans="1:200" ht="20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</row>
    <row r="191" spans="1:200" ht="20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</row>
    <row r="192" spans="1:200" ht="20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</row>
    <row r="193" spans="1:200" ht="20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</row>
    <row r="194" spans="1:200" ht="20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</row>
    <row r="195" spans="1:200" ht="20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</row>
    <row r="196" spans="1:200" ht="20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</row>
    <row r="197" spans="1:200" ht="20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</row>
    <row r="198" spans="1:200" ht="20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</row>
    <row r="199" spans="1:200" ht="20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</row>
    <row r="200" spans="1:200" ht="20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</row>
    <row r="201" spans="1:200" ht="20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</row>
    <row r="202" spans="1:200" ht="20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</row>
    <row r="203" spans="1:200" ht="20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</row>
    <row r="204" spans="1:200" ht="20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</row>
    <row r="205" spans="1:200" ht="20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</row>
    <row r="206" spans="1:200" ht="20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</row>
    <row r="207" spans="1:200" ht="20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</row>
    <row r="208" spans="1:200" ht="20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</row>
    <row r="209" spans="1:200" ht="20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</row>
    <row r="210" spans="1:200" ht="20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</row>
    <row r="211" spans="1:200" ht="20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</row>
    <row r="212" spans="1:200" ht="20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</row>
    <row r="213" spans="1:200" ht="20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</row>
    <row r="214" spans="1:200" ht="20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</row>
    <row r="215" spans="1:200" ht="20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</row>
    <row r="216" spans="1:200" ht="20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</row>
    <row r="217" spans="1:200" ht="20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</row>
    <row r="218" spans="1:200" ht="20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</row>
    <row r="219" spans="1:200" ht="20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</row>
    <row r="220" spans="1:200" ht="20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</row>
    <row r="221" spans="1:200" ht="20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</row>
    <row r="222" spans="1:200" ht="20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</row>
    <row r="223" spans="1:200" ht="20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</row>
    <row r="224" spans="1:200" ht="20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</row>
    <row r="225" spans="1:200" ht="20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</row>
    <row r="226" spans="1:200" ht="20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</row>
    <row r="227" spans="1:200" ht="20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</row>
    <row r="228" spans="1:200" ht="20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</row>
    <row r="229" spans="1:200" ht="20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</row>
    <row r="230" spans="1:200" ht="20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</row>
    <row r="231" spans="1:200" ht="20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</row>
    <row r="232" spans="1:200" ht="20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</row>
    <row r="233" spans="1:200" ht="20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</row>
    <row r="234" spans="1:200" ht="20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</row>
    <row r="235" spans="1:200" ht="20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</row>
    <row r="236" spans="1:200" ht="20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</row>
    <row r="237" spans="1:200" ht="20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</row>
    <row r="238" spans="1:200" ht="20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</row>
    <row r="239" spans="1:200" ht="20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</row>
    <row r="240" spans="1:200" ht="20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</row>
    <row r="241" spans="1:200" ht="20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</row>
    <row r="242" spans="1:200" ht="20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</row>
    <row r="243" spans="1:200" ht="20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</row>
    <row r="244" spans="1:200" ht="20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</row>
    <row r="245" spans="1:200" ht="20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</row>
    <row r="246" spans="1:200" ht="20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</row>
    <row r="247" spans="1:200" ht="20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</row>
    <row r="248" spans="1:200" ht="20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</row>
    <row r="249" spans="1:200" ht="20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</row>
    <row r="250" spans="1:200" ht="20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</row>
    <row r="251" spans="1:200" ht="20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</row>
    <row r="252" spans="1:200" ht="20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</row>
    <row r="253" spans="1:200" ht="20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</row>
    <row r="254" spans="1:200" ht="20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</row>
    <row r="255" spans="1:200" ht="20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</row>
    <row r="256" spans="1:200" ht="20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</row>
    <row r="257" spans="1:200" ht="20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</row>
    <row r="258" spans="1:200" ht="20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</row>
    <row r="259" spans="1:200" ht="20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</row>
    <row r="260" spans="1:200" ht="20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</row>
    <row r="261" spans="1:200" ht="20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</row>
    <row r="262" spans="1:200" ht="20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</row>
    <row r="263" spans="1:200" ht="20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</row>
    <row r="264" spans="1:200" ht="20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</row>
    <row r="265" spans="1:200" ht="20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</row>
    <row r="266" spans="1:200" ht="20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</row>
    <row r="267" spans="1:200" ht="20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</row>
    <row r="268" spans="1:200" ht="20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</row>
    <row r="269" spans="1:200" ht="20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</row>
    <row r="270" spans="1:200" ht="20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</row>
    <row r="271" spans="1:200" ht="20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</row>
    <row r="272" spans="1:200" ht="20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</row>
    <row r="273" spans="1:200" ht="20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</row>
    <row r="274" spans="1:200" ht="20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</row>
    <row r="275" spans="1:200" ht="20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</row>
    <row r="276" spans="1:200" ht="20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</row>
    <row r="277" spans="1:200" ht="20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</row>
    <row r="278" spans="1:200" ht="20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</row>
    <row r="279" spans="1:200" ht="20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</row>
    <row r="280" spans="1:200" ht="20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</row>
    <row r="281" spans="1:200" ht="20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</row>
    <row r="282" spans="1:200" ht="20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</row>
    <row r="283" spans="1:200" ht="20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</row>
    <row r="284" spans="1:200" ht="20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</row>
    <row r="285" spans="1:200" ht="20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</row>
    <row r="286" spans="1:200" ht="20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</row>
    <row r="287" spans="1:200" ht="20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</row>
    <row r="288" spans="1:200" ht="20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</row>
    <row r="289" spans="1:200" ht="20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</row>
    <row r="290" spans="1:200" ht="20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</row>
    <row r="291" spans="1:200" ht="20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</row>
    <row r="292" spans="1:200" ht="20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</row>
    <row r="293" spans="1:200" ht="20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</row>
    <row r="294" spans="1:200" ht="20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</row>
    <row r="295" spans="1:200" ht="20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</row>
    <row r="296" spans="1:200" ht="20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</row>
    <row r="297" spans="1:200" ht="20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</row>
    <row r="298" spans="1:200" ht="20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</row>
    <row r="299" spans="1:200" ht="20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</row>
    <row r="300" spans="1:200" ht="20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</row>
    <row r="301" spans="1:200" ht="20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</row>
    <row r="302" spans="1:200" ht="20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</row>
    <row r="303" spans="1:200" ht="20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</row>
    <row r="304" spans="1:200" ht="20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</row>
    <row r="305" spans="1:200" ht="20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</row>
    <row r="306" spans="1:200" ht="20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</row>
    <row r="307" spans="1:200" ht="20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</row>
    <row r="308" spans="1:200" ht="20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</row>
    <row r="309" spans="1:200" ht="20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</row>
    <row r="310" spans="1:200" ht="20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</row>
    <row r="311" spans="1:200" ht="20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</row>
    <row r="312" spans="1:200" ht="20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</row>
    <row r="313" spans="1:200" ht="20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</row>
    <row r="314" spans="1:200" ht="20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</row>
    <row r="315" spans="1:200" ht="20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</row>
    <row r="316" spans="1:200" ht="20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</row>
    <row r="317" spans="1:200" ht="20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</row>
    <row r="318" spans="1:200" ht="20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</row>
    <row r="319" spans="1:200" ht="20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</row>
    <row r="320" spans="1:200" ht="20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</row>
    <row r="321" spans="1:200" ht="20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</row>
    <row r="322" spans="1:200" ht="20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</row>
    <row r="323" spans="1:200" ht="20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</row>
    <row r="324" spans="1:200" ht="20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</row>
    <row r="325" spans="1:200" ht="20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</row>
    <row r="326" spans="1:200" ht="20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</row>
    <row r="327" spans="1:200" ht="20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</row>
    <row r="328" spans="1:200" ht="20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</row>
    <row r="329" spans="1:200" ht="20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</row>
    <row r="330" spans="1:200" ht="20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</row>
    <row r="331" spans="1:200" ht="20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</row>
    <row r="332" spans="1:200" ht="20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</row>
    <row r="333" spans="1:200" ht="20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</row>
    <row r="334" spans="1:200" ht="20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</row>
    <row r="335" spans="1:200" ht="20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</row>
    <row r="336" spans="1:200" ht="20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</row>
    <row r="337" spans="1:200" ht="20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</row>
    <row r="338" spans="1:200" ht="20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</row>
    <row r="339" spans="1:200" ht="20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</row>
    <row r="340" spans="1:200" ht="20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</row>
    <row r="341" spans="1:200" ht="20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</row>
    <row r="342" spans="1:200" ht="20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</row>
    <row r="343" spans="1:200" ht="20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</row>
    <row r="344" spans="1:200" ht="20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</row>
    <row r="345" spans="1:200" ht="20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</row>
    <row r="346" spans="1:200" ht="20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</row>
    <row r="347" spans="1:200" ht="20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</row>
    <row r="348" spans="1:200" ht="20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</row>
    <row r="349" spans="1:200" ht="20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</row>
    <row r="350" spans="1:200" ht="20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</row>
    <row r="351" spans="1:200" ht="20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</row>
    <row r="352" spans="1:200" ht="20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</row>
    <row r="353" spans="1:200" ht="20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</row>
    <row r="354" spans="1:200" ht="20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</row>
    <row r="355" spans="1:200" ht="20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</row>
    <row r="356" spans="1:200" ht="20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</row>
    <row r="357" spans="1:200" ht="20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</row>
    <row r="358" spans="1:200" ht="20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</row>
    <row r="359" spans="1:200" ht="20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</row>
    <row r="360" spans="1:200" ht="20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</row>
    <row r="361" spans="1:200" ht="20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</row>
    <row r="362" spans="1:200" ht="20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</row>
    <row r="363" spans="1:200" ht="20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</row>
    <row r="364" spans="1:200" ht="20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</row>
    <row r="365" spans="1:200" ht="20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</row>
    <row r="366" spans="1:200" ht="20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</row>
    <row r="367" spans="1:200" ht="20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</row>
    <row r="368" spans="1:200" ht="20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</row>
    <row r="369" spans="1:200" ht="20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</row>
    <row r="370" spans="1:200" ht="20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</row>
    <row r="371" spans="1:200" ht="20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</row>
    <row r="372" spans="1:200" ht="20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</row>
    <row r="373" spans="1:200" ht="20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</row>
    <row r="374" spans="1:200" ht="20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</row>
    <row r="375" spans="1:200" ht="20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</row>
    <row r="376" spans="1:200" ht="20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</row>
    <row r="377" spans="1:200" ht="20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</row>
    <row r="378" spans="1:200" ht="20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</row>
    <row r="379" spans="1:200" ht="20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</row>
    <row r="380" spans="1:200" ht="20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</row>
    <row r="381" spans="1:200" ht="20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</row>
    <row r="382" spans="1:200" ht="20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</row>
    <row r="383" spans="1:200" ht="20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</row>
    <row r="384" spans="1:200" ht="20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</row>
    <row r="385" spans="1:200" ht="20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</row>
    <row r="386" spans="1:200" ht="20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</row>
    <row r="387" spans="1:200" ht="20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</row>
    <row r="388" spans="1:200" ht="20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</row>
    <row r="389" spans="1:200" ht="20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</row>
    <row r="390" spans="1:200" ht="20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</row>
    <row r="391" spans="1:200" ht="20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</row>
    <row r="392" spans="1:200" ht="20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</row>
    <row r="393" spans="1:200" ht="20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</row>
    <row r="394" spans="1:200" ht="20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</row>
    <row r="395" spans="1:200" ht="20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</row>
    <row r="396" spans="1:200" ht="20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</row>
    <row r="397" spans="1:200" ht="20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</row>
    <row r="398" spans="1:200" ht="20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</row>
    <row r="399" spans="1:200" ht="20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</row>
    <row r="400" spans="1:200" ht="20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</row>
    <row r="401" spans="1:200" ht="20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</row>
    <row r="402" spans="1:200" ht="20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</row>
    <row r="403" spans="1:200" ht="20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</row>
    <row r="404" spans="1:200" ht="20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</row>
    <row r="405" spans="1:200" ht="20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</row>
    <row r="406" spans="1:200" ht="20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</row>
    <row r="407" spans="1:200" ht="20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</row>
    <row r="408" spans="1:200" ht="20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</row>
    <row r="409" spans="1:200" ht="20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</row>
    <row r="410" spans="1:200" ht="20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</row>
    <row r="411" spans="1:200" ht="20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</row>
    <row r="412" spans="1:200" ht="20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</row>
    <row r="413" spans="1:200" ht="20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</row>
    <row r="414" spans="1:200" ht="20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</row>
    <row r="415" spans="1:200" ht="20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</row>
    <row r="416" spans="1:200" ht="20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</row>
    <row r="417" spans="1:200" ht="20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</row>
    <row r="418" spans="1:200" ht="20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</row>
    <row r="419" spans="1:200" ht="20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</row>
    <row r="420" spans="1:200" ht="20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</row>
    <row r="421" spans="1:200" ht="20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</row>
    <row r="422" spans="1:200" ht="20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</row>
    <row r="423" spans="1:200" ht="20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</row>
    <row r="424" spans="1:200" ht="20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</row>
    <row r="425" spans="1:200" ht="20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</row>
    <row r="426" spans="1:200" ht="20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</row>
    <row r="427" spans="1:200" ht="20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</row>
    <row r="428" spans="1:200" ht="20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</row>
    <row r="429" spans="1:200" ht="20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</row>
    <row r="430" spans="1:200" ht="20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</row>
    <row r="431" spans="1:200" ht="20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</row>
    <row r="432" spans="1:200" ht="20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</row>
    <row r="433" spans="1:200" ht="20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</row>
    <row r="434" spans="1:200" ht="20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</row>
    <row r="435" spans="1:200" ht="20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</row>
    <row r="436" spans="1:200" ht="20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</row>
    <row r="437" spans="1:200" ht="20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</row>
    <row r="438" spans="1:200" ht="20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</row>
    <row r="439" spans="1:200" ht="20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</row>
    <row r="440" spans="1:200" ht="20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</row>
    <row r="441" spans="1:200" ht="20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</row>
    <row r="442" spans="1:200" ht="20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</row>
    <row r="443" spans="1:200" ht="20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</row>
    <row r="444" spans="1:200" ht="20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</row>
    <row r="445" spans="1:200" ht="20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</row>
    <row r="446" spans="1:200" ht="20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</row>
    <row r="447" spans="1:200" ht="20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</row>
    <row r="448" spans="1:200" ht="20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</row>
    <row r="449" spans="1:200" ht="20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</row>
    <row r="450" spans="1:200" ht="20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</row>
    <row r="451" spans="1:200" ht="20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</row>
    <row r="452" spans="1:200" ht="20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</row>
    <row r="453" spans="1:200" ht="20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</row>
    <row r="454" spans="1:200" ht="20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</row>
    <row r="455" spans="1:200" ht="20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</row>
    <row r="456" spans="1:200" ht="20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</row>
    <row r="457" spans="1:200" ht="20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</row>
    <row r="458" spans="1:200" ht="20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</row>
    <row r="459" spans="1:200" ht="20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</row>
    <row r="460" spans="1:200" ht="20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</row>
    <row r="461" spans="1:200" ht="20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</row>
    <row r="462" spans="1:200" ht="20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</row>
    <row r="463" spans="1:200" ht="20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</row>
    <row r="464" spans="1:200" ht="20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</row>
    <row r="465" spans="1:200" ht="20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</row>
    <row r="466" spans="1:200" ht="20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</row>
    <row r="467" spans="1:200" ht="20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</row>
    <row r="468" spans="1:200" ht="20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</row>
    <row r="469" spans="1:200" ht="20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</row>
    <row r="470" spans="1:200" ht="20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</row>
    <row r="471" spans="1:200" ht="20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</row>
    <row r="472" spans="1:200" ht="20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</row>
    <row r="473" spans="1:200" ht="20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</row>
    <row r="474" spans="1:200" ht="20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</row>
    <row r="475" spans="1:200" ht="20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</row>
    <row r="476" spans="1:200" ht="20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</row>
    <row r="477" spans="1:200" ht="20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</row>
    <row r="478" spans="1:200" ht="20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</row>
    <row r="479" spans="1:200" ht="20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</row>
    <row r="480" spans="1:200" ht="20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</row>
    <row r="481" spans="1:200" ht="20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</row>
    <row r="482" spans="1:200" ht="20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</row>
    <row r="483" spans="1:200" ht="20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</row>
    <row r="484" spans="1:200" ht="20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</row>
    <row r="485" spans="1:200" ht="20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</row>
    <row r="486" spans="1:200" ht="20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</row>
    <row r="487" spans="1:200" ht="20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</row>
    <row r="488" spans="1:200" ht="20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</row>
    <row r="489" spans="1:200" ht="20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</row>
    <row r="490" spans="1:200" ht="20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</row>
    <row r="491" spans="1:200" ht="20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</row>
    <row r="492" spans="1:200" ht="20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</row>
    <row r="493" spans="1:200" ht="20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</row>
    <row r="494" spans="1:200" ht="20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</row>
    <row r="495" spans="1:200" ht="20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</row>
    <row r="496" spans="1:200" ht="20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</row>
    <row r="497" spans="1:200" ht="20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</row>
    <row r="498" spans="1:200" ht="20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</row>
    <row r="499" spans="1:200" ht="20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</row>
    <row r="500" spans="1:200" ht="20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</row>
  </sheetData>
  <sheetProtection sheet="1"/>
  <pageMargins left="0.75" right="0.75" top="1" bottom="1" header="0.511811023622047" footer="0.511811023622047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R500"/>
  <sheetViews>
    <sheetView showGridLines="0" topLeftCell="A12" zoomScale="150" zoomScaleNormal="100" workbookViewId="0">
      <selection activeCell="D22" sqref="D22"/>
    </sheetView>
  </sheetViews>
  <sheetFormatPr baseColWidth="10" defaultColWidth="8.83203125" defaultRowHeight="15" x14ac:dyDescent="0.2"/>
  <sheetData>
    <row r="1" spans="1:200" ht="15" customHeight="1" x14ac:dyDescent="0.2">
      <c r="A1" s="1"/>
      <c r="B1" s="2"/>
      <c r="C1" s="2"/>
      <c r="D1" s="2"/>
      <c r="E1" s="2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</row>
    <row r="2" spans="1:200" ht="15" customHeight="1" x14ac:dyDescent="0.2">
      <c r="A2" s="1"/>
      <c r="B2" s="2" t="s">
        <v>56</v>
      </c>
      <c r="C2" s="2"/>
      <c r="D2" s="2"/>
      <c r="E2" s="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</row>
    <row r="3" spans="1:200" ht="15" customHeight="1" x14ac:dyDescent="0.2">
      <c r="A3" s="1"/>
      <c r="B3" s="2"/>
      <c r="C3" s="2"/>
      <c r="D3" s="2"/>
      <c r="E3" s="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</row>
    <row r="4" spans="1:200" ht="15" customHeight="1" x14ac:dyDescent="0.2">
      <c r="A4" s="1"/>
      <c r="B4" s="2"/>
      <c r="C4" s="2"/>
      <c r="D4" s="2"/>
      <c r="E4" s="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</row>
    <row r="5" spans="1:200" ht="15" customHeight="1" x14ac:dyDescent="0.2">
      <c r="A5" s="1"/>
      <c r="B5" s="2" t="s">
        <v>57</v>
      </c>
      <c r="C5" s="2"/>
      <c r="D5" s="2"/>
      <c r="E5" s="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</row>
    <row r="6" spans="1:200" ht="15" customHeight="1" x14ac:dyDescent="0.2">
      <c r="A6" s="1"/>
      <c r="B6" s="2" t="s">
        <v>58</v>
      </c>
      <c r="C6" s="2" t="s">
        <v>59</v>
      </c>
      <c r="D6" s="2" t="s">
        <v>60</v>
      </c>
      <c r="E6" s="2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</row>
    <row r="7" spans="1:200" ht="15" customHeight="1" x14ac:dyDescent="0.2">
      <c r="A7" s="1"/>
      <c r="B7" s="2" t="s">
        <v>61</v>
      </c>
      <c r="C7" s="2">
        <v>13</v>
      </c>
      <c r="D7" s="2" t="s">
        <v>62</v>
      </c>
      <c r="E7" s="2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</row>
    <row r="8" spans="1:200" ht="15" customHeight="1" x14ac:dyDescent="0.2">
      <c r="A8" s="1"/>
      <c r="B8" s="2" t="s">
        <v>63</v>
      </c>
      <c r="C8" s="2">
        <v>50</v>
      </c>
      <c r="D8" s="2" t="s">
        <v>64</v>
      </c>
      <c r="E8" s="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</row>
    <row r="9" spans="1:200" ht="15" customHeight="1" x14ac:dyDescent="0.2">
      <c r="A9" s="1"/>
      <c r="B9" s="2" t="s">
        <v>65</v>
      </c>
      <c r="C9" s="2">
        <v>180</v>
      </c>
      <c r="D9" s="2" t="s">
        <v>66</v>
      </c>
      <c r="E9" s="2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</row>
    <row r="10" spans="1:200" ht="15" customHeight="1" x14ac:dyDescent="0.2">
      <c r="A10" s="1"/>
      <c r="B10" s="2" t="s">
        <v>67</v>
      </c>
      <c r="C10" s="2">
        <v>30</v>
      </c>
      <c r="D10" s="2" t="s">
        <v>68</v>
      </c>
      <c r="E10" s="2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</row>
    <row r="11" spans="1:200" ht="15" customHeight="1" x14ac:dyDescent="0.2">
      <c r="A11" s="1"/>
      <c r="B11" s="2" t="s">
        <v>69</v>
      </c>
      <c r="C11" s="2" t="str">
        <f>Client_Info!D5</f>
        <v>Rivara Foundation</v>
      </c>
      <c r="D11" s="2" t="s">
        <v>70</v>
      </c>
      <c r="E11" s="2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</row>
    <row r="12" spans="1:200" ht="15" customHeight="1" x14ac:dyDescent="0.2">
      <c r="A12" s="1"/>
      <c r="B12" s="2" t="s">
        <v>71</v>
      </c>
      <c r="C12" s="4">
        <f>Client_Info!D13</f>
        <v>850000000</v>
      </c>
      <c r="D12" s="2" t="s">
        <v>70</v>
      </c>
      <c r="E12" s="2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</row>
    <row r="13" spans="1:200" ht="15" customHeight="1" x14ac:dyDescent="0.2">
      <c r="A13" s="1"/>
      <c r="B13" s="2" t="s">
        <v>72</v>
      </c>
      <c r="C13" s="5">
        <f>Client_Info!D14</f>
        <v>42400</v>
      </c>
      <c r="D13" s="2" t="s">
        <v>73</v>
      </c>
      <c r="E13" s="2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</row>
    <row r="14" spans="1:200" ht="15" customHeight="1" x14ac:dyDescent="0.2">
      <c r="A14" s="1"/>
      <c r="B14" s="2" t="s">
        <v>74</v>
      </c>
      <c r="C14" s="5">
        <f>Client_Info!D15</f>
        <v>46022</v>
      </c>
      <c r="D14" s="2" t="s">
        <v>75</v>
      </c>
      <c r="E14" s="2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</row>
    <row r="15" spans="1:200" ht="15" customHeight="1" x14ac:dyDescent="0.2">
      <c r="A15" s="1"/>
      <c r="B15" s="2"/>
      <c r="C15" s="2"/>
      <c r="D15" s="2"/>
      <c r="E15" s="2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</row>
    <row r="16" spans="1:200" ht="15" customHeight="1" x14ac:dyDescent="0.2">
      <c r="A16" s="1"/>
      <c r="B16" s="2"/>
      <c r="C16" s="2"/>
      <c r="D16" s="2"/>
      <c r="E16" s="2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</row>
    <row r="17" spans="1:200" ht="15" customHeight="1" x14ac:dyDescent="0.2">
      <c r="A17" s="1"/>
      <c r="B17" s="2"/>
      <c r="C17" s="2"/>
      <c r="D17" s="2"/>
      <c r="E17" s="2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</row>
    <row r="18" spans="1:200" ht="15" customHeight="1" x14ac:dyDescent="0.2">
      <c r="A18" s="1"/>
      <c r="B18" s="2" t="s">
        <v>76</v>
      </c>
      <c r="C18" s="2"/>
      <c r="D18" s="2"/>
      <c r="E18" s="2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</row>
    <row r="19" spans="1:200" ht="15" customHeight="1" x14ac:dyDescent="0.2">
      <c r="A19" s="1"/>
      <c r="B19" s="145" t="s">
        <v>77</v>
      </c>
      <c r="C19" s="145" t="s">
        <v>78</v>
      </c>
      <c r="D19" s="145" t="s">
        <v>79</v>
      </c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</row>
    <row r="20" spans="1:200" ht="15" customHeight="1" x14ac:dyDescent="0.2">
      <c r="A20" s="1"/>
      <c r="B20" s="146" t="s">
        <v>80</v>
      </c>
      <c r="C20" s="146" t="s">
        <v>81</v>
      </c>
      <c r="D20" s="146" t="s">
        <v>82</v>
      </c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</row>
    <row r="21" spans="1:200" ht="15" customHeight="1" x14ac:dyDescent="0.2">
      <c r="A21" s="1"/>
      <c r="B21" s="146" t="s">
        <v>80</v>
      </c>
      <c r="C21" s="146" t="s">
        <v>83</v>
      </c>
      <c r="D21" s="146" t="s">
        <v>84</v>
      </c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</row>
    <row r="22" spans="1:200" ht="15" customHeight="1" x14ac:dyDescent="0.2">
      <c r="A22" s="1"/>
      <c r="B22" s="146" t="s">
        <v>85</v>
      </c>
      <c r="C22" s="146" t="s">
        <v>86</v>
      </c>
      <c r="D22" s="146" t="s">
        <v>87</v>
      </c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</row>
    <row r="23" spans="1:200" ht="15" customHeight="1" x14ac:dyDescent="0.2">
      <c r="A23" s="1"/>
      <c r="B23" s="146" t="s">
        <v>88</v>
      </c>
      <c r="C23" s="146" t="s">
        <v>89</v>
      </c>
      <c r="D23" s="146" t="s">
        <v>90</v>
      </c>
      <c r="E23" s="2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</row>
    <row r="24" spans="1:200" ht="15" customHeight="1" x14ac:dyDescent="0.2">
      <c r="A24" s="1"/>
      <c r="B24" s="146" t="s">
        <v>91</v>
      </c>
      <c r="C24" s="146" t="s">
        <v>92</v>
      </c>
      <c r="D24" s="146" t="s">
        <v>93</v>
      </c>
      <c r="E24" s="2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</row>
    <row r="25" spans="1:200" ht="15" customHeight="1" x14ac:dyDescent="0.2">
      <c r="A25" s="1"/>
      <c r="B25" s="146" t="s">
        <v>94</v>
      </c>
      <c r="C25" s="146" t="s">
        <v>95</v>
      </c>
      <c r="D25" s="146" t="s">
        <v>96</v>
      </c>
      <c r="E25" s="2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</row>
    <row r="26" spans="1:200" ht="15" customHeight="1" x14ac:dyDescent="0.2">
      <c r="A26" s="1"/>
      <c r="B26" s="146" t="s">
        <v>97</v>
      </c>
      <c r="C26" s="146" t="s">
        <v>98</v>
      </c>
      <c r="D26" s="146" t="s">
        <v>99</v>
      </c>
      <c r="E26" s="2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</row>
    <row r="27" spans="1:200" ht="15" customHeight="1" x14ac:dyDescent="0.2">
      <c r="A27" s="1"/>
      <c r="B27" s="146" t="s">
        <v>97</v>
      </c>
      <c r="C27" s="146" t="s">
        <v>100</v>
      </c>
      <c r="D27" s="146" t="s">
        <v>101</v>
      </c>
      <c r="E27" s="2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</row>
    <row r="28" spans="1:200" ht="15" customHeight="1" x14ac:dyDescent="0.2">
      <c r="A28" s="1"/>
      <c r="B28" s="146" t="s">
        <v>97</v>
      </c>
      <c r="C28" s="146" t="s">
        <v>102</v>
      </c>
      <c r="D28" s="146" t="s">
        <v>103</v>
      </c>
      <c r="E28" s="2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</row>
    <row r="29" spans="1:200" ht="15" customHeight="1" x14ac:dyDescent="0.2">
      <c r="A29" s="1"/>
      <c r="B29" s="146" t="s">
        <v>104</v>
      </c>
      <c r="C29" s="146" t="s">
        <v>105</v>
      </c>
      <c r="D29" s="146" t="s">
        <v>106</v>
      </c>
      <c r="E29" s="2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</row>
    <row r="30" spans="1:200" ht="15" customHeight="1" x14ac:dyDescent="0.2">
      <c r="A30" s="1"/>
      <c r="B30" s="147"/>
      <c r="C30" s="147"/>
      <c r="D30" s="147"/>
      <c r="E30" s="2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</row>
    <row r="31" spans="1:200" ht="15" customHeight="1" x14ac:dyDescent="0.2">
      <c r="A31" s="1"/>
      <c r="B31" s="148" t="s">
        <v>107</v>
      </c>
      <c r="C31" s="147"/>
      <c r="D31" s="147"/>
      <c r="E31" s="2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</row>
    <row r="32" spans="1:200" ht="15" customHeight="1" x14ac:dyDescent="0.2">
      <c r="A32" s="1"/>
      <c r="B32" s="149" t="s">
        <v>108</v>
      </c>
      <c r="C32" s="147"/>
      <c r="D32" s="150" t="s">
        <v>109</v>
      </c>
      <c r="E32" s="2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</row>
    <row r="33" spans="1:200" ht="15" customHeight="1" x14ac:dyDescent="0.2">
      <c r="A33" s="1"/>
      <c r="B33" s="149" t="s">
        <v>110</v>
      </c>
      <c r="C33" s="147"/>
      <c r="D33" s="150" t="s">
        <v>111</v>
      </c>
      <c r="E33" s="2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</row>
    <row r="34" spans="1:200" ht="15" customHeight="1" x14ac:dyDescent="0.2">
      <c r="A34" s="1"/>
      <c r="B34" s="149" t="s">
        <v>112</v>
      </c>
      <c r="C34" s="147"/>
      <c r="D34" s="150" t="s">
        <v>113</v>
      </c>
      <c r="E34" s="2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</row>
    <row r="35" spans="1:200" ht="15" customHeight="1" x14ac:dyDescent="0.2">
      <c r="A35" s="1"/>
      <c r="B35" s="147"/>
      <c r="C35" s="147"/>
      <c r="D35" s="147"/>
      <c r="E35" s="2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</row>
    <row r="36" spans="1:200" ht="15" customHeight="1" x14ac:dyDescent="0.2">
      <c r="A36" s="1"/>
      <c r="B36" s="147"/>
      <c r="C36" s="147"/>
      <c r="D36" s="147"/>
      <c r="E36" s="2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</row>
    <row r="37" spans="1:200" ht="15" customHeight="1" x14ac:dyDescent="0.2">
      <c r="A37" s="1"/>
      <c r="B37" s="147"/>
      <c r="C37" s="147"/>
      <c r="D37" s="147"/>
      <c r="E37" s="2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</row>
    <row r="38" spans="1:200" ht="15" customHeight="1" x14ac:dyDescent="0.2">
      <c r="A38" s="1"/>
      <c r="B38" s="147"/>
      <c r="C38" s="147"/>
      <c r="D38" s="147"/>
      <c r="E38" s="2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</row>
    <row r="39" spans="1:200" ht="15" customHeight="1" x14ac:dyDescent="0.2">
      <c r="A39" s="1"/>
      <c r="B39" s="147"/>
      <c r="C39" s="147"/>
      <c r="D39" s="147"/>
      <c r="E39" s="2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</row>
    <row r="40" spans="1:200" ht="15" customHeight="1" x14ac:dyDescent="0.2">
      <c r="A40" s="1"/>
      <c r="B40" s="2"/>
      <c r="C40" s="2"/>
      <c r="D40" s="2"/>
      <c r="E40" s="2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</row>
    <row r="41" spans="1:200" ht="15" customHeight="1" x14ac:dyDescent="0.2">
      <c r="A41" s="1"/>
      <c r="B41" s="2"/>
      <c r="C41" s="2"/>
      <c r="D41" s="2"/>
      <c r="E41" s="2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</row>
    <row r="42" spans="1:200" ht="15" customHeight="1" x14ac:dyDescent="0.2">
      <c r="A42" s="1"/>
      <c r="B42" s="2"/>
      <c r="C42" s="2"/>
      <c r="D42" s="2"/>
      <c r="E42" s="2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</row>
    <row r="43" spans="1:200" ht="15" customHeight="1" x14ac:dyDescent="0.2">
      <c r="A43" s="1"/>
      <c r="B43" s="2"/>
      <c r="C43" s="2"/>
      <c r="D43" s="2"/>
      <c r="E43" s="2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</row>
    <row r="44" spans="1:200" ht="15" customHeight="1" x14ac:dyDescent="0.2">
      <c r="A44" s="1"/>
      <c r="B44" s="2"/>
      <c r="C44" s="2"/>
      <c r="D44" s="2"/>
      <c r="E44" s="2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</row>
    <row r="45" spans="1:200" ht="15" customHeight="1" x14ac:dyDescent="0.2">
      <c r="A45" s="1"/>
      <c r="B45" s="2"/>
      <c r="C45" s="2"/>
      <c r="D45" s="2"/>
      <c r="E45" s="2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</row>
    <row r="46" spans="1:200" ht="15" customHeight="1" x14ac:dyDescent="0.2">
      <c r="A46" s="1"/>
      <c r="B46" s="2"/>
      <c r="C46" s="2"/>
      <c r="D46" s="2"/>
      <c r="E46" s="2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</row>
    <row r="47" spans="1:200" ht="15" customHeight="1" x14ac:dyDescent="0.2">
      <c r="A47" s="1"/>
      <c r="B47" s="2"/>
      <c r="C47" s="2"/>
      <c r="D47" s="2"/>
      <c r="E47" s="2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</row>
    <row r="48" spans="1:200" ht="15" customHeight="1" x14ac:dyDescent="0.2">
      <c r="A48" s="1"/>
      <c r="B48" s="2"/>
      <c r="C48" s="2"/>
      <c r="D48" s="2"/>
      <c r="E48" s="2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</row>
    <row r="49" spans="1:200" ht="15" customHeight="1" x14ac:dyDescent="0.2">
      <c r="A49" s="1"/>
      <c r="B49" s="2"/>
      <c r="C49" s="2"/>
      <c r="D49" s="2"/>
      <c r="E49" s="2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</row>
    <row r="50" spans="1:200" ht="15" customHeight="1" x14ac:dyDescent="0.2">
      <c r="A50" s="1"/>
      <c r="B50" s="2"/>
      <c r="C50" s="2"/>
      <c r="D50" s="2"/>
      <c r="E50" s="2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</row>
    <row r="51" spans="1:200" ht="15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</row>
    <row r="52" spans="1:200" ht="15" customHeight="1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</row>
    <row r="53" spans="1:200" ht="15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</row>
    <row r="54" spans="1:200" ht="15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</row>
    <row r="55" spans="1:200" ht="15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</row>
    <row r="56" spans="1:200" ht="15" customHeight="1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</row>
    <row r="57" spans="1:200" ht="15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</row>
    <row r="58" spans="1:200" ht="15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</row>
    <row r="59" spans="1:200" ht="15" customHeight="1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</row>
    <row r="60" spans="1:200" ht="15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</row>
    <row r="61" spans="1:200" ht="1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</row>
    <row r="62" spans="1:200" ht="15" customHeight="1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</row>
    <row r="63" spans="1:200" ht="15" customHeight="1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</row>
    <row r="64" spans="1:200" ht="1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</row>
    <row r="65" spans="1:200" ht="15" customHeight="1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</row>
    <row r="66" spans="1:200" ht="1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</row>
    <row r="67" spans="1:200" ht="1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</row>
    <row r="68" spans="1:200" ht="1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</row>
    <row r="69" spans="1:200" ht="1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</row>
    <row r="70" spans="1:200" ht="1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</row>
    <row r="71" spans="1:200" ht="1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</row>
    <row r="72" spans="1:200" ht="1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</row>
    <row r="73" spans="1:200" ht="1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</row>
    <row r="74" spans="1:200" ht="1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</row>
    <row r="75" spans="1:200" ht="1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</row>
    <row r="76" spans="1:200" ht="1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</row>
    <row r="77" spans="1:200" ht="1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</row>
    <row r="78" spans="1:200" ht="1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</row>
    <row r="79" spans="1:200" ht="1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</row>
    <row r="80" spans="1:200" ht="1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</row>
    <row r="81" spans="1:200" ht="15" customHeight="1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</row>
    <row r="82" spans="1:200" ht="1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</row>
    <row r="83" spans="1:200" ht="15" customHeight="1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</row>
    <row r="84" spans="1:200" ht="1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</row>
    <row r="85" spans="1:200" ht="1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</row>
    <row r="86" spans="1:200" ht="1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</row>
    <row r="87" spans="1:200" ht="1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</row>
    <row r="88" spans="1:200" ht="1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</row>
    <row r="89" spans="1:200" ht="1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</row>
    <row r="90" spans="1:200" ht="1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</row>
    <row r="91" spans="1:200" ht="1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</row>
    <row r="92" spans="1:200" ht="1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</row>
    <row r="93" spans="1:200" ht="1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</row>
    <row r="94" spans="1:200" ht="1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</row>
    <row r="95" spans="1:200" ht="1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</row>
    <row r="96" spans="1:200" ht="1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</row>
    <row r="97" spans="1:200" ht="1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</row>
    <row r="98" spans="1:200" ht="1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</row>
    <row r="99" spans="1:200" ht="1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</row>
    <row r="100" spans="1:200" ht="1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</row>
    <row r="101" spans="1:200" ht="15" customHeight="1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</row>
    <row r="102" spans="1:200" ht="15" customHeight="1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</row>
    <row r="103" spans="1:200" ht="15" customHeight="1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</row>
    <row r="104" spans="1:200" ht="15" customHeight="1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</row>
    <row r="105" spans="1:200" ht="15" customHeight="1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</row>
    <row r="106" spans="1:200" ht="15" customHeight="1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</row>
    <row r="107" spans="1:200" ht="15" customHeight="1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</row>
    <row r="108" spans="1:200" ht="15" customHeight="1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</row>
    <row r="109" spans="1:200" ht="15" customHeight="1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</row>
    <row r="110" spans="1:200" ht="15" customHeight="1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</row>
    <row r="111" spans="1:200" ht="15" customHeight="1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</row>
    <row r="112" spans="1:200" ht="15" customHeight="1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</row>
    <row r="113" spans="1:200" ht="15" customHeight="1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</row>
    <row r="114" spans="1:200" ht="15" customHeight="1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</row>
    <row r="115" spans="1:200" ht="15" customHeight="1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</row>
    <row r="116" spans="1:200" ht="15" customHeight="1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</row>
    <row r="117" spans="1:200" ht="15" customHeight="1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</row>
    <row r="118" spans="1:200" ht="15" customHeight="1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</row>
    <row r="119" spans="1:200" ht="15" customHeight="1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</row>
    <row r="120" spans="1:200" ht="15" customHeight="1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</row>
    <row r="121" spans="1:200" ht="15" customHeight="1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</row>
    <row r="122" spans="1:200" ht="15" customHeight="1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</row>
    <row r="123" spans="1:200" ht="15" customHeight="1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</row>
    <row r="124" spans="1:200" ht="15" customHeight="1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</row>
    <row r="125" spans="1:200" ht="15" customHeight="1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</row>
    <row r="126" spans="1:200" ht="15" customHeight="1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</row>
    <row r="127" spans="1:200" ht="15" customHeight="1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</row>
    <row r="128" spans="1:200" ht="15" customHeight="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</row>
    <row r="129" spans="1:200" ht="15" customHeight="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</row>
    <row r="130" spans="1:200" ht="15" customHeight="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</row>
    <row r="131" spans="1:200" ht="15" customHeight="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</row>
    <row r="132" spans="1:200" ht="15" customHeight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</row>
    <row r="133" spans="1:200" ht="1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</row>
    <row r="134" spans="1:200" ht="1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</row>
    <row r="135" spans="1:200" ht="15" customHeight="1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</row>
    <row r="136" spans="1:200" ht="15" customHeight="1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</row>
    <row r="137" spans="1:200" ht="15" customHeight="1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</row>
    <row r="138" spans="1:200" ht="15" customHeight="1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</row>
    <row r="139" spans="1:200" ht="15" customHeight="1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</row>
    <row r="140" spans="1:200" ht="15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</row>
    <row r="141" spans="1:200" ht="1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</row>
    <row r="142" spans="1:200" ht="1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</row>
    <row r="143" spans="1:200" ht="1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</row>
    <row r="144" spans="1:200" ht="1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</row>
    <row r="145" spans="1:200" ht="1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</row>
    <row r="146" spans="1:200" ht="1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</row>
    <row r="147" spans="1:200" ht="1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</row>
    <row r="148" spans="1:200" ht="1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</row>
    <row r="149" spans="1:200" ht="1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</row>
    <row r="150" spans="1:200" ht="1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</row>
    <row r="151" spans="1:200" ht="1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</row>
    <row r="152" spans="1:200" ht="1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</row>
    <row r="153" spans="1:200" ht="1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</row>
    <row r="154" spans="1:200" ht="1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</row>
    <row r="155" spans="1:200" ht="1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</row>
    <row r="156" spans="1:200" ht="1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</row>
    <row r="157" spans="1:200" ht="1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</row>
    <row r="158" spans="1:200" ht="1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</row>
    <row r="159" spans="1:200" ht="1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</row>
    <row r="160" spans="1:200" ht="1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</row>
    <row r="161" spans="1:200" ht="1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</row>
    <row r="162" spans="1:200" ht="1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</row>
    <row r="163" spans="1:200" ht="1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</row>
    <row r="164" spans="1:200" ht="1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</row>
    <row r="165" spans="1:200" ht="1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</row>
    <row r="166" spans="1:200" ht="1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</row>
    <row r="167" spans="1:200" ht="1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</row>
    <row r="168" spans="1:200" ht="1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</row>
    <row r="169" spans="1:200" ht="1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</row>
    <row r="170" spans="1:200" ht="1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</row>
    <row r="171" spans="1:200" ht="1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</row>
    <row r="172" spans="1:200" ht="1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</row>
    <row r="173" spans="1:200" ht="1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</row>
    <row r="174" spans="1:200" ht="1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</row>
    <row r="175" spans="1:200" ht="1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</row>
    <row r="176" spans="1:200" ht="1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</row>
    <row r="177" spans="1:200" ht="1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</row>
    <row r="178" spans="1:200" ht="1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</row>
    <row r="179" spans="1:200" ht="1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</row>
    <row r="180" spans="1:200" ht="1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</row>
    <row r="181" spans="1:200" ht="1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</row>
    <row r="182" spans="1:200" ht="1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</row>
    <row r="183" spans="1:200" ht="1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</row>
    <row r="184" spans="1:200" ht="1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</row>
    <row r="185" spans="1:200" ht="1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</row>
    <row r="186" spans="1:200" ht="1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</row>
    <row r="187" spans="1:200" ht="1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</row>
    <row r="188" spans="1:200" ht="1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</row>
    <row r="189" spans="1:200" ht="1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</row>
    <row r="190" spans="1:200" ht="1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</row>
    <row r="191" spans="1:200" ht="1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</row>
    <row r="192" spans="1:200" ht="1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</row>
    <row r="193" spans="1:200" ht="1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</row>
    <row r="194" spans="1:200" ht="1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</row>
    <row r="195" spans="1:200" ht="1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</row>
    <row r="196" spans="1:200" ht="1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</row>
    <row r="197" spans="1:200" ht="1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</row>
    <row r="198" spans="1:200" ht="1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</row>
    <row r="199" spans="1:200" ht="1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</row>
    <row r="200" spans="1:200" ht="1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</row>
    <row r="201" spans="1:200" ht="1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</row>
    <row r="202" spans="1:200" ht="1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</row>
    <row r="203" spans="1:200" ht="1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</row>
    <row r="204" spans="1:200" ht="1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</row>
    <row r="205" spans="1:200" ht="1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</row>
    <row r="206" spans="1:200" ht="1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</row>
    <row r="207" spans="1:200" ht="1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</row>
    <row r="208" spans="1:200" ht="1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</row>
    <row r="209" spans="1:200" ht="1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</row>
    <row r="210" spans="1:200" ht="1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</row>
    <row r="211" spans="1:200" ht="1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</row>
    <row r="212" spans="1:200" ht="1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</row>
    <row r="213" spans="1:200" ht="1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</row>
    <row r="214" spans="1:200" ht="1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</row>
    <row r="215" spans="1:200" ht="1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</row>
    <row r="216" spans="1:200" ht="1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</row>
    <row r="217" spans="1:200" ht="1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</row>
    <row r="218" spans="1:200" ht="1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</row>
    <row r="219" spans="1:200" ht="1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</row>
    <row r="220" spans="1:200" ht="1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</row>
    <row r="221" spans="1:200" ht="1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</row>
    <row r="222" spans="1:200" ht="1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</row>
    <row r="223" spans="1:200" ht="1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</row>
    <row r="224" spans="1:200" ht="1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</row>
    <row r="225" spans="1:200" ht="1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</row>
    <row r="226" spans="1:200" ht="1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</row>
    <row r="227" spans="1:200" ht="1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</row>
    <row r="228" spans="1:200" ht="1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</row>
    <row r="229" spans="1:200" ht="1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</row>
    <row r="230" spans="1:200" ht="1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</row>
    <row r="231" spans="1:200" ht="1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</row>
    <row r="232" spans="1:200" ht="1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</row>
    <row r="233" spans="1:200" ht="1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</row>
    <row r="234" spans="1:200" ht="1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</row>
    <row r="235" spans="1:200" ht="1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</row>
    <row r="236" spans="1:200" ht="1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</row>
    <row r="237" spans="1:200" ht="1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</row>
    <row r="238" spans="1:200" ht="1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</row>
    <row r="239" spans="1:200" ht="1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</row>
    <row r="240" spans="1:200" ht="1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</row>
    <row r="241" spans="1:200" ht="1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</row>
    <row r="242" spans="1:200" ht="1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</row>
    <row r="243" spans="1:200" ht="1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</row>
    <row r="244" spans="1:200" ht="1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</row>
    <row r="245" spans="1:200" ht="1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</row>
    <row r="246" spans="1:200" ht="1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</row>
    <row r="247" spans="1:200" ht="1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</row>
    <row r="248" spans="1:200" ht="1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</row>
    <row r="249" spans="1:200" ht="1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</row>
    <row r="250" spans="1:200" ht="1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</row>
    <row r="251" spans="1:200" ht="1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</row>
    <row r="252" spans="1:200" ht="1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</row>
    <row r="253" spans="1:200" ht="1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</row>
    <row r="254" spans="1:200" ht="1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</row>
    <row r="255" spans="1:200" ht="1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</row>
    <row r="256" spans="1:200" ht="1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</row>
    <row r="257" spans="1:200" ht="1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</row>
    <row r="258" spans="1:200" ht="1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</row>
    <row r="259" spans="1:200" ht="1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</row>
    <row r="260" spans="1:200" ht="1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</row>
    <row r="261" spans="1:200" ht="1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</row>
    <row r="262" spans="1:200" ht="1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</row>
    <row r="263" spans="1:200" ht="1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</row>
    <row r="264" spans="1:200" ht="1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</row>
    <row r="265" spans="1:200" ht="1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</row>
    <row r="266" spans="1:200" ht="1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</row>
    <row r="267" spans="1:200" ht="1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</row>
    <row r="268" spans="1:200" ht="1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</row>
    <row r="269" spans="1:200" ht="1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</row>
    <row r="270" spans="1:200" ht="1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</row>
    <row r="271" spans="1:200" ht="1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</row>
    <row r="272" spans="1:200" ht="1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</row>
    <row r="273" spans="1:200" ht="1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</row>
    <row r="274" spans="1:200" ht="1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</row>
    <row r="275" spans="1:200" ht="1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</row>
    <row r="276" spans="1:200" ht="1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</row>
    <row r="277" spans="1:200" ht="1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</row>
    <row r="278" spans="1:200" ht="1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</row>
    <row r="279" spans="1:200" ht="1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</row>
    <row r="280" spans="1:200" ht="1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</row>
    <row r="281" spans="1:200" ht="1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</row>
    <row r="282" spans="1:200" ht="1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</row>
    <row r="283" spans="1:200" ht="1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</row>
    <row r="284" spans="1:200" ht="1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</row>
    <row r="285" spans="1:200" ht="1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</row>
    <row r="286" spans="1:200" ht="1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</row>
    <row r="287" spans="1:200" ht="1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</row>
    <row r="288" spans="1:200" ht="1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</row>
    <row r="289" spans="1:200" ht="1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</row>
    <row r="290" spans="1:200" ht="1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</row>
    <row r="291" spans="1:200" ht="1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</row>
    <row r="292" spans="1:200" ht="1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</row>
    <row r="293" spans="1:200" ht="1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</row>
    <row r="294" spans="1:200" ht="1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</row>
    <row r="295" spans="1:200" ht="1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</row>
    <row r="296" spans="1:200" ht="1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</row>
    <row r="297" spans="1:200" ht="1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</row>
    <row r="298" spans="1:200" ht="1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</row>
    <row r="299" spans="1:200" ht="1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</row>
    <row r="300" spans="1:200" ht="1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</row>
    <row r="301" spans="1:200" ht="1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</row>
    <row r="302" spans="1:200" ht="1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</row>
    <row r="303" spans="1:200" ht="1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</row>
    <row r="304" spans="1:200" ht="1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</row>
    <row r="305" spans="1:200" ht="1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</row>
    <row r="306" spans="1:200" ht="1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</row>
    <row r="307" spans="1:200" ht="1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</row>
    <row r="308" spans="1:200" ht="1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</row>
    <row r="309" spans="1:200" ht="1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</row>
    <row r="310" spans="1:200" ht="1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</row>
    <row r="311" spans="1:200" ht="1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</row>
    <row r="312" spans="1:200" ht="1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</row>
    <row r="313" spans="1:200" ht="1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</row>
    <row r="314" spans="1:200" ht="1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</row>
    <row r="315" spans="1:200" ht="1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</row>
    <row r="316" spans="1:200" ht="1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</row>
    <row r="317" spans="1:200" ht="1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</row>
    <row r="318" spans="1:200" ht="1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</row>
    <row r="319" spans="1:200" ht="1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</row>
    <row r="320" spans="1:200" ht="1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</row>
    <row r="321" spans="1:200" ht="1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</row>
    <row r="322" spans="1:200" ht="1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</row>
    <row r="323" spans="1:200" ht="1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</row>
    <row r="324" spans="1:200" ht="1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</row>
    <row r="325" spans="1:200" ht="1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</row>
    <row r="326" spans="1:200" ht="1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</row>
    <row r="327" spans="1:200" ht="1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</row>
    <row r="328" spans="1:200" ht="1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</row>
    <row r="329" spans="1:200" ht="1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</row>
    <row r="330" spans="1:200" ht="1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</row>
    <row r="331" spans="1:200" ht="1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</row>
    <row r="332" spans="1:200" ht="1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</row>
    <row r="333" spans="1:200" ht="1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</row>
    <row r="334" spans="1:200" ht="1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</row>
    <row r="335" spans="1:200" ht="1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</row>
    <row r="336" spans="1:200" ht="1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</row>
    <row r="337" spans="1:200" ht="1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</row>
    <row r="338" spans="1:200" ht="1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</row>
    <row r="339" spans="1:200" ht="1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</row>
    <row r="340" spans="1:200" ht="1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</row>
    <row r="341" spans="1:200" ht="1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</row>
    <row r="342" spans="1:200" ht="1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</row>
    <row r="343" spans="1:200" ht="1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</row>
    <row r="344" spans="1:200" ht="1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</row>
    <row r="345" spans="1:200" ht="1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</row>
    <row r="346" spans="1:200" ht="1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</row>
    <row r="347" spans="1:200" ht="1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</row>
    <row r="348" spans="1:200" ht="1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</row>
    <row r="349" spans="1:200" ht="1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</row>
    <row r="350" spans="1:200" ht="1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</row>
    <row r="351" spans="1:200" ht="1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</row>
    <row r="352" spans="1:200" ht="1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</row>
    <row r="353" spans="1:200" ht="1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</row>
    <row r="354" spans="1:200" ht="1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</row>
    <row r="355" spans="1:200" ht="1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</row>
    <row r="356" spans="1:200" ht="1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</row>
    <row r="357" spans="1:200" ht="1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</row>
    <row r="358" spans="1:200" ht="1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</row>
    <row r="359" spans="1:200" ht="1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</row>
    <row r="360" spans="1:200" ht="1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</row>
    <row r="361" spans="1:200" ht="1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</row>
    <row r="362" spans="1:200" ht="1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</row>
    <row r="363" spans="1:200" ht="1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</row>
    <row r="364" spans="1:200" ht="1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</row>
    <row r="365" spans="1:200" ht="1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</row>
    <row r="366" spans="1:200" ht="1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</row>
    <row r="367" spans="1:200" ht="1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</row>
    <row r="368" spans="1:200" ht="1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</row>
    <row r="369" spans="1:200" ht="1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</row>
    <row r="370" spans="1:200" ht="1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</row>
    <row r="371" spans="1:200" ht="1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</row>
    <row r="372" spans="1:200" ht="1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</row>
    <row r="373" spans="1:200" ht="1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</row>
    <row r="374" spans="1:200" ht="1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</row>
    <row r="375" spans="1:200" ht="1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</row>
    <row r="376" spans="1:200" ht="1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</row>
    <row r="377" spans="1:200" ht="1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</row>
    <row r="378" spans="1:200" ht="1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</row>
    <row r="379" spans="1:200" ht="1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</row>
    <row r="380" spans="1:200" ht="1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</row>
    <row r="381" spans="1:200" ht="1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</row>
    <row r="382" spans="1:200" ht="1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</row>
    <row r="383" spans="1:200" ht="1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</row>
    <row r="384" spans="1:200" ht="1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</row>
    <row r="385" spans="1:200" ht="1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</row>
    <row r="386" spans="1:200" ht="1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</row>
    <row r="387" spans="1:200" ht="1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</row>
    <row r="388" spans="1:200" ht="1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</row>
    <row r="389" spans="1:200" ht="1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</row>
    <row r="390" spans="1:200" ht="1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</row>
    <row r="391" spans="1:200" ht="1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</row>
    <row r="392" spans="1:200" ht="1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</row>
    <row r="393" spans="1:200" ht="1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</row>
    <row r="394" spans="1:200" ht="1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</row>
    <row r="395" spans="1:200" ht="1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</row>
    <row r="396" spans="1:200" ht="1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</row>
    <row r="397" spans="1:200" ht="1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</row>
    <row r="398" spans="1:200" ht="1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</row>
    <row r="399" spans="1:200" ht="1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</row>
    <row r="400" spans="1:200" ht="1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</row>
    <row r="401" spans="1:200" ht="1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</row>
    <row r="402" spans="1:200" ht="1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</row>
    <row r="403" spans="1:200" ht="1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</row>
    <row r="404" spans="1:200" ht="1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</row>
    <row r="405" spans="1:200" ht="1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</row>
    <row r="406" spans="1:200" ht="1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</row>
    <row r="407" spans="1:200" ht="1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</row>
    <row r="408" spans="1:200" ht="1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</row>
    <row r="409" spans="1:200" ht="1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</row>
    <row r="410" spans="1:200" ht="1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</row>
    <row r="411" spans="1:200" ht="1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</row>
    <row r="412" spans="1:200" ht="1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</row>
    <row r="413" spans="1:200" ht="1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</row>
    <row r="414" spans="1:200" ht="1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</row>
    <row r="415" spans="1:200" ht="1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</row>
    <row r="416" spans="1:200" ht="1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</row>
    <row r="417" spans="1:200" ht="1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</row>
    <row r="418" spans="1:200" ht="1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</row>
    <row r="419" spans="1:200" ht="1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</row>
    <row r="420" spans="1:200" ht="1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</row>
    <row r="421" spans="1:200" ht="1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</row>
    <row r="422" spans="1:200" ht="1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</row>
    <row r="423" spans="1:200" ht="1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</row>
    <row r="424" spans="1:200" ht="1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</row>
    <row r="425" spans="1:200" ht="1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</row>
    <row r="426" spans="1:200" ht="1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</row>
    <row r="427" spans="1:200" ht="1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</row>
    <row r="428" spans="1:200" ht="1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</row>
    <row r="429" spans="1:200" ht="1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</row>
    <row r="430" spans="1:200" ht="1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</row>
    <row r="431" spans="1:200" ht="1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</row>
    <row r="432" spans="1:200" ht="1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</row>
    <row r="433" spans="1:200" ht="1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</row>
    <row r="434" spans="1:200" ht="1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</row>
    <row r="435" spans="1:200" ht="1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</row>
    <row r="436" spans="1:200" ht="1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</row>
    <row r="437" spans="1:200" ht="1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</row>
    <row r="438" spans="1:200" ht="1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</row>
    <row r="439" spans="1:200" ht="1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</row>
    <row r="440" spans="1:200" ht="1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</row>
    <row r="441" spans="1:200" ht="1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</row>
    <row r="442" spans="1:200" ht="1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</row>
    <row r="443" spans="1:200" ht="1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</row>
    <row r="444" spans="1:200" ht="1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</row>
    <row r="445" spans="1:200" ht="1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</row>
    <row r="446" spans="1:200" ht="1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</row>
    <row r="447" spans="1:200" ht="1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</row>
    <row r="448" spans="1:200" ht="1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</row>
    <row r="449" spans="1:200" ht="1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</row>
    <row r="450" spans="1:200" ht="1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</row>
    <row r="451" spans="1:200" ht="1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</row>
    <row r="452" spans="1:200" ht="1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</row>
    <row r="453" spans="1:200" ht="1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</row>
    <row r="454" spans="1:200" ht="1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</row>
    <row r="455" spans="1:200" ht="1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</row>
    <row r="456" spans="1:200" ht="1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</row>
    <row r="457" spans="1:200" ht="1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</row>
    <row r="458" spans="1:200" ht="1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</row>
    <row r="459" spans="1:200" ht="1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</row>
    <row r="460" spans="1:200" ht="1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</row>
    <row r="461" spans="1:200" ht="1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</row>
    <row r="462" spans="1:200" ht="1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</row>
    <row r="463" spans="1:200" ht="1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</row>
    <row r="464" spans="1:200" ht="1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</row>
    <row r="465" spans="1:200" ht="1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</row>
    <row r="466" spans="1:200" ht="1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</row>
    <row r="467" spans="1:200" ht="1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</row>
    <row r="468" spans="1:200" ht="1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</row>
    <row r="469" spans="1:200" ht="1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</row>
    <row r="470" spans="1:200" ht="1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</row>
    <row r="471" spans="1:200" ht="1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</row>
    <row r="472" spans="1:200" ht="1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</row>
    <row r="473" spans="1:200" ht="1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</row>
    <row r="474" spans="1:200" ht="1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</row>
    <row r="475" spans="1:200" ht="1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</row>
    <row r="476" spans="1:200" ht="1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</row>
    <row r="477" spans="1:200" ht="1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</row>
    <row r="478" spans="1:200" ht="1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</row>
    <row r="479" spans="1:200" ht="1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</row>
    <row r="480" spans="1:200" ht="1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</row>
    <row r="481" spans="1:200" ht="1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</row>
    <row r="482" spans="1:200" ht="1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</row>
    <row r="483" spans="1:200" ht="1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</row>
    <row r="484" spans="1:200" ht="1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</row>
    <row r="485" spans="1:200" ht="1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</row>
    <row r="486" spans="1:200" ht="1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</row>
    <row r="487" spans="1:200" ht="1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</row>
    <row r="488" spans="1:200" ht="1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</row>
    <row r="489" spans="1:200" ht="1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</row>
    <row r="490" spans="1:200" ht="1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</row>
    <row r="491" spans="1:200" ht="1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</row>
    <row r="492" spans="1:200" ht="1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</row>
    <row r="493" spans="1:200" ht="1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</row>
    <row r="494" spans="1:200" ht="1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</row>
    <row r="495" spans="1:200" ht="1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</row>
    <row r="496" spans="1:200" ht="1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</row>
    <row r="497" spans="1:200" ht="1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</row>
    <row r="498" spans="1:200" ht="1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</row>
    <row r="499" spans="1:200" ht="1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</row>
    <row r="500" spans="1:200" ht="1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</row>
  </sheetData>
  <sheetProtection sheet="1"/>
  <pageMargins left="0.75" right="0.75" top="1" bottom="1" header="0.511811023622047" footer="0.511811023622047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 tint="-0.14999847407452621"/>
  </sheetPr>
  <dimension ref="A1:GR500"/>
  <sheetViews>
    <sheetView showGridLines="0" zoomScaleNormal="100" workbookViewId="0">
      <selection activeCell="E24" sqref="E24"/>
    </sheetView>
  </sheetViews>
  <sheetFormatPr baseColWidth="10" defaultColWidth="8.6640625" defaultRowHeight="20" customHeight="1" x14ac:dyDescent="0.2"/>
  <cols>
    <col min="1" max="1" width="2" customWidth="1"/>
    <col min="2" max="2" width="3.83203125" hidden="1" customWidth="1"/>
    <col min="3" max="3" width="28" customWidth="1"/>
    <col min="4" max="4" width="24" customWidth="1"/>
    <col min="5" max="5" width="28" customWidth="1"/>
    <col min="6" max="6" width="4" customWidth="1"/>
    <col min="7" max="7" width="8.6640625" customWidth="1"/>
  </cols>
  <sheetData>
    <row r="1" spans="1:200" ht="20" customHeight="1" thickBot="1" x14ac:dyDescent="0.25">
      <c r="A1" s="2"/>
      <c r="B1" s="2"/>
      <c r="C1" s="2"/>
      <c r="D1" s="2"/>
      <c r="E1" s="2"/>
      <c r="F1" s="2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</row>
    <row r="2" spans="1:200" ht="20" customHeight="1" thickBot="1" x14ac:dyDescent="0.25">
      <c r="A2" s="2"/>
      <c r="B2" s="6"/>
      <c r="C2" s="42" t="s">
        <v>2</v>
      </c>
      <c r="D2" s="43"/>
      <c r="E2" s="44"/>
      <c r="F2" s="2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</row>
    <row r="3" spans="1:200" ht="20" customHeight="1" x14ac:dyDescent="0.2">
      <c r="A3" s="2"/>
      <c r="B3" s="8"/>
      <c r="C3" s="8"/>
      <c r="D3" s="8"/>
      <c r="E3" s="8"/>
      <c r="F3" s="2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</row>
    <row r="4" spans="1:200" ht="20" customHeight="1" thickBot="1" x14ac:dyDescent="0.25">
      <c r="A4" s="2"/>
      <c r="B4" s="12" t="s">
        <v>81</v>
      </c>
      <c r="C4" s="9" t="s">
        <v>114</v>
      </c>
      <c r="D4" s="8"/>
      <c r="E4" s="8"/>
      <c r="F4" s="2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</row>
    <row r="5" spans="1:200" ht="20" customHeight="1" thickBot="1" x14ac:dyDescent="0.25">
      <c r="A5" s="2"/>
      <c r="B5" s="8"/>
      <c r="C5" s="8" t="s">
        <v>115</v>
      </c>
      <c r="D5" s="34" t="s">
        <v>116</v>
      </c>
      <c r="E5" s="8"/>
      <c r="F5" s="2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</row>
    <row r="6" spans="1:200" ht="20" customHeight="1" thickBot="1" x14ac:dyDescent="0.25">
      <c r="A6" s="2"/>
      <c r="B6" s="8"/>
      <c r="C6" s="8" t="s">
        <v>117</v>
      </c>
      <c r="D6" s="34">
        <v>1049</v>
      </c>
      <c r="E6" s="8"/>
      <c r="F6" s="2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</row>
    <row r="7" spans="1:200" ht="20" customHeight="1" thickBot="1" x14ac:dyDescent="0.25">
      <c r="A7" s="2"/>
      <c r="B7" s="8"/>
      <c r="C7" s="8" t="s">
        <v>118</v>
      </c>
      <c r="D7" s="34" t="s">
        <v>119</v>
      </c>
      <c r="E7" s="8"/>
      <c r="F7" s="2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</row>
    <row r="8" spans="1:200" ht="20" customHeight="1" thickBot="1" x14ac:dyDescent="0.25">
      <c r="A8" s="2"/>
      <c r="B8" s="8"/>
      <c r="C8" s="8" t="s">
        <v>120</v>
      </c>
      <c r="D8" s="35">
        <v>46088</v>
      </c>
      <c r="E8" s="8"/>
      <c r="F8" s="2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</row>
    <row r="9" spans="1:200" ht="20" customHeight="1" thickBot="1" x14ac:dyDescent="0.25">
      <c r="A9" s="2"/>
      <c r="B9" s="8"/>
      <c r="C9" s="8" t="s">
        <v>121</v>
      </c>
      <c r="D9" s="34" t="s">
        <v>122</v>
      </c>
      <c r="E9" s="8"/>
      <c r="F9" s="2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</row>
    <row r="10" spans="1:200" ht="20" customHeight="1" thickBot="1" x14ac:dyDescent="0.25">
      <c r="A10" s="2"/>
      <c r="B10" s="8"/>
      <c r="C10" s="8"/>
      <c r="D10" s="118"/>
      <c r="E10" s="8"/>
      <c r="F10" s="2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</row>
    <row r="11" spans="1:200" ht="20" customHeight="1" thickBot="1" x14ac:dyDescent="0.25">
      <c r="A11" s="2"/>
      <c r="B11" s="6"/>
      <c r="C11" s="42" t="s">
        <v>123</v>
      </c>
      <c r="D11" s="119"/>
      <c r="E11" s="44"/>
      <c r="F11" s="2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</row>
    <row r="12" spans="1:200" ht="20" customHeight="1" thickBot="1" x14ac:dyDescent="0.25">
      <c r="A12" s="2"/>
      <c r="B12" s="12" t="s">
        <v>83</v>
      </c>
      <c r="C12" s="9" t="s">
        <v>124</v>
      </c>
      <c r="D12" s="118"/>
      <c r="E12" s="8"/>
      <c r="F12" s="2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</row>
    <row r="13" spans="1:200" ht="20" customHeight="1" thickBot="1" x14ac:dyDescent="0.25">
      <c r="A13" s="2"/>
      <c r="B13" s="8"/>
      <c r="C13" s="8" t="s">
        <v>125</v>
      </c>
      <c r="D13" s="36">
        <v>850000000</v>
      </c>
      <c r="E13" s="9" t="s">
        <v>126</v>
      </c>
      <c r="F13" s="2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</row>
    <row r="14" spans="1:200" ht="20" customHeight="1" thickBot="1" x14ac:dyDescent="0.25">
      <c r="A14" s="2"/>
      <c r="B14" s="8"/>
      <c r="C14" s="8" t="s">
        <v>127</v>
      </c>
      <c r="D14" s="38">
        <v>42400</v>
      </c>
      <c r="E14" s="9" t="s">
        <v>128</v>
      </c>
      <c r="F14" s="2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</row>
    <row r="15" spans="1:200" ht="20" customHeight="1" thickBot="1" x14ac:dyDescent="0.25">
      <c r="A15" s="2"/>
      <c r="B15" s="8"/>
      <c r="C15" s="8" t="s">
        <v>129</v>
      </c>
      <c r="D15" s="38">
        <v>46022</v>
      </c>
      <c r="E15" s="9" t="s">
        <v>130</v>
      </c>
      <c r="F15" s="2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</row>
    <row r="16" spans="1:200" ht="20" customHeight="1" thickBot="1" x14ac:dyDescent="0.25">
      <c r="A16" s="2"/>
      <c r="B16" s="8"/>
      <c r="C16" s="8" t="s">
        <v>131</v>
      </c>
      <c r="D16" s="37">
        <v>5</v>
      </c>
      <c r="E16" s="9" t="s">
        <v>132</v>
      </c>
      <c r="F16" s="2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</row>
    <row r="17" spans="1:200" ht="20" customHeight="1" thickBot="1" x14ac:dyDescent="0.25">
      <c r="A17" s="2"/>
      <c r="B17" s="8"/>
      <c r="C17" s="8" t="s">
        <v>133</v>
      </c>
      <c r="D17" s="37">
        <v>2.5</v>
      </c>
      <c r="E17" s="9" t="s">
        <v>134</v>
      </c>
      <c r="F17" s="2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</row>
    <row r="18" spans="1:200" ht="20" customHeight="1" thickBot="1" x14ac:dyDescent="0.25">
      <c r="A18" s="2"/>
      <c r="B18" s="8"/>
      <c r="C18" s="8" t="s">
        <v>135</v>
      </c>
      <c r="D18" s="37">
        <v>46203</v>
      </c>
      <c r="E18" s="9" t="s">
        <v>136</v>
      </c>
      <c r="F18" s="2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</row>
    <row r="19" spans="1:200" ht="20" customHeight="1" x14ac:dyDescent="0.2">
      <c r="A19" s="2"/>
      <c r="B19" s="8"/>
      <c r="C19" s="8"/>
      <c r="D19" s="8"/>
      <c r="E19" s="8"/>
      <c r="F19" s="2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</row>
    <row r="20" spans="1:200" ht="20" customHeight="1" x14ac:dyDescent="0.2">
      <c r="A20" s="2"/>
      <c r="B20" s="2"/>
      <c r="C20" s="2"/>
      <c r="D20" s="2"/>
      <c r="E20" s="2"/>
      <c r="F20" s="2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</row>
    <row r="21" spans="1:200" ht="20" customHeight="1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</row>
    <row r="22" spans="1:200" ht="20" customHeight="1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</row>
    <row r="23" spans="1:200" ht="20" customHeight="1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</row>
    <row r="24" spans="1:200" ht="20" customHeight="1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</row>
    <row r="25" spans="1:200" ht="20" customHeight="1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</row>
    <row r="26" spans="1:200" ht="20" customHeight="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</row>
    <row r="27" spans="1:200" ht="20" customHeight="1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</row>
    <row r="28" spans="1:200" ht="20" customHeight="1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</row>
    <row r="29" spans="1:200" ht="20" customHeight="1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</row>
    <row r="30" spans="1:200" ht="20" customHeight="1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</row>
    <row r="31" spans="1:200" ht="20" customHeight="1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</row>
    <row r="32" spans="1:200" ht="20" customHeight="1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</row>
    <row r="33" spans="1:200" ht="20" customHeight="1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</row>
    <row r="34" spans="1:200" ht="20" customHeight="1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</row>
    <row r="35" spans="1:200" ht="20" customHeight="1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</row>
    <row r="36" spans="1:200" ht="20" customHeight="1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</row>
    <row r="37" spans="1:200" ht="20" customHeight="1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</row>
    <row r="38" spans="1:200" ht="20" customHeight="1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</row>
    <row r="39" spans="1:200" ht="20" customHeight="1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</row>
    <row r="40" spans="1:200" ht="20" customHeight="1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</row>
    <row r="41" spans="1:200" ht="20" customHeight="1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</row>
    <row r="42" spans="1:200" ht="20" customHeight="1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</row>
    <row r="43" spans="1:200" ht="20" customHeight="1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</row>
    <row r="44" spans="1:200" ht="20" customHeight="1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</row>
    <row r="45" spans="1:200" ht="20" customHeight="1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</row>
    <row r="46" spans="1:200" ht="20" customHeight="1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</row>
    <row r="47" spans="1:200" ht="20" customHeight="1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</row>
    <row r="48" spans="1:200" ht="20" customHeight="1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</row>
    <row r="49" spans="1:200" ht="20" customHeight="1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</row>
    <row r="50" spans="1:200" ht="20" customHeight="1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</row>
    <row r="51" spans="1:200" ht="20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</row>
    <row r="52" spans="1:200" ht="20" customHeight="1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</row>
    <row r="53" spans="1:200" ht="20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</row>
    <row r="54" spans="1:200" ht="20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</row>
    <row r="55" spans="1:200" ht="20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</row>
    <row r="56" spans="1:200" ht="20" customHeight="1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</row>
    <row r="57" spans="1:200" ht="20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</row>
    <row r="58" spans="1:200" ht="20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</row>
    <row r="59" spans="1:200" ht="20" customHeight="1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</row>
    <row r="60" spans="1:200" ht="20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</row>
    <row r="61" spans="1:200" ht="20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</row>
    <row r="62" spans="1:200" ht="20" customHeight="1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</row>
    <row r="63" spans="1:200" ht="20" customHeight="1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</row>
    <row r="64" spans="1:200" ht="20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</row>
    <row r="65" spans="1:200" ht="20" customHeight="1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</row>
    <row r="66" spans="1:200" ht="20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</row>
    <row r="67" spans="1:200" ht="20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</row>
    <row r="68" spans="1:200" ht="20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</row>
    <row r="69" spans="1:200" ht="20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</row>
    <row r="70" spans="1:200" ht="20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</row>
    <row r="71" spans="1:200" ht="20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</row>
    <row r="72" spans="1:200" ht="20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</row>
    <row r="73" spans="1:200" ht="20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</row>
    <row r="74" spans="1:200" ht="20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</row>
    <row r="75" spans="1:200" ht="20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</row>
    <row r="76" spans="1:200" ht="20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</row>
    <row r="77" spans="1:200" ht="20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</row>
    <row r="78" spans="1:200" ht="20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</row>
    <row r="79" spans="1:200" ht="20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</row>
    <row r="80" spans="1:200" ht="20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</row>
    <row r="81" spans="1:200" ht="20" customHeight="1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</row>
    <row r="82" spans="1:200" ht="20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</row>
    <row r="83" spans="1:200" ht="20" customHeight="1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</row>
    <row r="84" spans="1:200" ht="20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</row>
    <row r="85" spans="1:200" ht="20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</row>
    <row r="86" spans="1:200" ht="20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</row>
    <row r="87" spans="1:200" ht="20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</row>
    <row r="88" spans="1:200" ht="20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</row>
    <row r="89" spans="1:200" ht="20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</row>
    <row r="90" spans="1:200" ht="20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</row>
    <row r="91" spans="1:200" ht="20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</row>
    <row r="92" spans="1:200" ht="20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</row>
    <row r="93" spans="1:200" ht="20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</row>
    <row r="94" spans="1:200" ht="20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</row>
    <row r="95" spans="1:200" ht="20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</row>
    <row r="96" spans="1:200" ht="20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</row>
    <row r="97" spans="1:200" ht="20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</row>
    <row r="98" spans="1:200" ht="20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</row>
    <row r="99" spans="1:200" ht="20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</row>
    <row r="100" spans="1:200" ht="20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</row>
    <row r="101" spans="1:200" ht="20" customHeight="1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</row>
    <row r="102" spans="1:200" ht="20" customHeight="1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</row>
    <row r="103" spans="1:200" ht="20" customHeight="1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</row>
    <row r="104" spans="1:200" ht="20" customHeight="1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</row>
    <row r="105" spans="1:200" ht="20" customHeight="1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</row>
    <row r="106" spans="1:200" ht="20" customHeight="1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</row>
    <row r="107" spans="1:200" ht="20" customHeight="1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</row>
    <row r="108" spans="1:200" ht="20" customHeight="1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</row>
    <row r="109" spans="1:200" ht="20" customHeight="1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</row>
    <row r="110" spans="1:200" ht="20" customHeight="1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</row>
    <row r="111" spans="1:200" ht="20" customHeight="1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</row>
    <row r="112" spans="1:200" ht="20" customHeight="1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</row>
    <row r="113" spans="1:200" ht="20" customHeight="1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</row>
    <row r="114" spans="1:200" ht="20" customHeight="1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</row>
    <row r="115" spans="1:200" ht="20" customHeight="1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</row>
    <row r="116" spans="1:200" ht="20" customHeight="1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</row>
    <row r="117" spans="1:200" ht="20" customHeight="1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</row>
    <row r="118" spans="1:200" ht="20" customHeight="1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</row>
    <row r="119" spans="1:200" ht="20" customHeight="1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</row>
    <row r="120" spans="1:200" ht="20" customHeight="1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</row>
    <row r="121" spans="1:200" ht="20" customHeight="1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</row>
    <row r="122" spans="1:200" ht="20" customHeight="1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</row>
    <row r="123" spans="1:200" ht="20" customHeight="1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</row>
    <row r="124" spans="1:200" ht="20" customHeight="1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</row>
    <row r="125" spans="1:200" ht="20" customHeight="1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</row>
    <row r="126" spans="1:200" ht="20" customHeight="1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</row>
    <row r="127" spans="1:200" ht="20" customHeight="1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</row>
    <row r="128" spans="1:200" ht="20" customHeight="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</row>
    <row r="129" spans="1:200" ht="20" customHeight="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</row>
    <row r="130" spans="1:200" ht="20" customHeight="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</row>
    <row r="131" spans="1:200" ht="20" customHeight="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</row>
    <row r="132" spans="1:200" ht="20" customHeight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</row>
    <row r="133" spans="1:200" ht="20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</row>
    <row r="134" spans="1:200" ht="20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</row>
    <row r="135" spans="1:200" ht="20" customHeight="1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</row>
    <row r="136" spans="1:200" ht="20" customHeight="1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</row>
    <row r="137" spans="1:200" ht="20" customHeight="1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</row>
    <row r="138" spans="1:200" ht="20" customHeight="1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</row>
    <row r="139" spans="1:200" ht="20" customHeight="1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</row>
    <row r="140" spans="1:200" ht="20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</row>
    <row r="141" spans="1:200" ht="20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</row>
    <row r="142" spans="1:200" ht="20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</row>
    <row r="143" spans="1:200" ht="20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</row>
    <row r="144" spans="1:200" ht="20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</row>
    <row r="145" spans="1:200" ht="20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</row>
    <row r="146" spans="1:200" ht="20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</row>
    <row r="147" spans="1:200" ht="20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</row>
    <row r="148" spans="1:200" ht="20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</row>
    <row r="149" spans="1:200" ht="20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</row>
    <row r="150" spans="1:200" ht="20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</row>
    <row r="151" spans="1:200" ht="20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</row>
    <row r="152" spans="1:200" ht="20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</row>
    <row r="153" spans="1:200" ht="20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</row>
    <row r="154" spans="1:200" ht="20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</row>
    <row r="155" spans="1:200" ht="20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</row>
    <row r="156" spans="1:200" ht="20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</row>
    <row r="157" spans="1:200" ht="20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</row>
    <row r="158" spans="1:200" ht="20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</row>
    <row r="159" spans="1:200" ht="20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</row>
    <row r="160" spans="1:200" ht="20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</row>
    <row r="161" spans="1:200" ht="20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</row>
    <row r="162" spans="1:200" ht="20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</row>
    <row r="163" spans="1:200" ht="20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</row>
    <row r="164" spans="1:200" ht="20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</row>
    <row r="165" spans="1:200" ht="20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</row>
    <row r="166" spans="1:200" ht="20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</row>
    <row r="167" spans="1:200" ht="20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</row>
    <row r="168" spans="1:200" ht="20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</row>
    <row r="169" spans="1:200" ht="20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</row>
    <row r="170" spans="1:200" ht="20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</row>
    <row r="171" spans="1:200" ht="20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</row>
    <row r="172" spans="1:200" ht="20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</row>
    <row r="173" spans="1:200" ht="20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</row>
    <row r="174" spans="1:200" ht="20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</row>
    <row r="175" spans="1:200" ht="20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</row>
    <row r="176" spans="1:200" ht="20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</row>
    <row r="177" spans="1:200" ht="20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</row>
    <row r="178" spans="1:200" ht="20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</row>
    <row r="179" spans="1:200" ht="20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</row>
    <row r="180" spans="1:200" ht="20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</row>
    <row r="181" spans="1:200" ht="20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</row>
    <row r="182" spans="1:200" ht="20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</row>
    <row r="183" spans="1:200" ht="20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</row>
    <row r="184" spans="1:200" ht="20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</row>
    <row r="185" spans="1:200" ht="20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</row>
    <row r="186" spans="1:200" ht="20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</row>
    <row r="187" spans="1:200" ht="20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</row>
    <row r="188" spans="1:200" ht="20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</row>
    <row r="189" spans="1:200" ht="20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</row>
    <row r="190" spans="1:200" ht="20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</row>
    <row r="191" spans="1:200" ht="20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</row>
    <row r="192" spans="1:200" ht="20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</row>
    <row r="193" spans="1:200" ht="20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</row>
    <row r="194" spans="1:200" ht="20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</row>
    <row r="195" spans="1:200" ht="20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</row>
    <row r="196" spans="1:200" ht="20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</row>
    <row r="197" spans="1:200" ht="20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</row>
    <row r="198" spans="1:200" ht="20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</row>
    <row r="199" spans="1:200" ht="20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</row>
    <row r="200" spans="1:200" ht="20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</row>
    <row r="201" spans="1:200" ht="20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</row>
    <row r="202" spans="1:200" ht="20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</row>
    <row r="203" spans="1:200" ht="20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</row>
    <row r="204" spans="1:200" ht="20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</row>
    <row r="205" spans="1:200" ht="20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</row>
    <row r="206" spans="1:200" ht="20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</row>
    <row r="207" spans="1:200" ht="20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</row>
    <row r="208" spans="1:200" ht="20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</row>
    <row r="209" spans="1:200" ht="20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</row>
    <row r="210" spans="1:200" ht="20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</row>
    <row r="211" spans="1:200" ht="20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</row>
    <row r="212" spans="1:200" ht="20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</row>
    <row r="213" spans="1:200" ht="20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</row>
    <row r="214" spans="1:200" ht="20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</row>
    <row r="215" spans="1:200" ht="20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</row>
    <row r="216" spans="1:200" ht="20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</row>
    <row r="217" spans="1:200" ht="20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</row>
    <row r="218" spans="1:200" ht="20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</row>
    <row r="219" spans="1:200" ht="20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</row>
    <row r="220" spans="1:200" ht="20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</row>
    <row r="221" spans="1:200" ht="20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</row>
    <row r="222" spans="1:200" ht="20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</row>
    <row r="223" spans="1:200" ht="20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</row>
    <row r="224" spans="1:200" ht="20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</row>
    <row r="225" spans="1:200" ht="20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</row>
    <row r="226" spans="1:200" ht="20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</row>
    <row r="227" spans="1:200" ht="20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</row>
    <row r="228" spans="1:200" ht="20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</row>
    <row r="229" spans="1:200" ht="20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</row>
    <row r="230" spans="1:200" ht="20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</row>
    <row r="231" spans="1:200" ht="20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</row>
    <row r="232" spans="1:200" ht="20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</row>
    <row r="233" spans="1:200" ht="20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</row>
    <row r="234" spans="1:200" ht="20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</row>
    <row r="235" spans="1:200" ht="20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</row>
    <row r="236" spans="1:200" ht="20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</row>
    <row r="237" spans="1:200" ht="20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</row>
    <row r="238" spans="1:200" ht="20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</row>
    <row r="239" spans="1:200" ht="20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</row>
    <row r="240" spans="1:200" ht="20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</row>
    <row r="241" spans="1:200" ht="20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</row>
    <row r="242" spans="1:200" ht="20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</row>
    <row r="243" spans="1:200" ht="20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</row>
    <row r="244" spans="1:200" ht="20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</row>
    <row r="245" spans="1:200" ht="20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</row>
    <row r="246" spans="1:200" ht="20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</row>
    <row r="247" spans="1:200" ht="20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</row>
    <row r="248" spans="1:200" ht="20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</row>
    <row r="249" spans="1:200" ht="20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</row>
    <row r="250" spans="1:200" ht="20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</row>
    <row r="251" spans="1:200" ht="20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</row>
    <row r="252" spans="1:200" ht="20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</row>
    <row r="253" spans="1:200" ht="20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</row>
    <row r="254" spans="1:200" ht="20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</row>
    <row r="255" spans="1:200" ht="20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</row>
    <row r="256" spans="1:200" ht="20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</row>
    <row r="257" spans="1:200" ht="20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</row>
    <row r="258" spans="1:200" ht="20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</row>
    <row r="259" spans="1:200" ht="20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</row>
    <row r="260" spans="1:200" ht="20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</row>
    <row r="261" spans="1:200" ht="20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</row>
    <row r="262" spans="1:200" ht="20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</row>
    <row r="263" spans="1:200" ht="20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</row>
    <row r="264" spans="1:200" ht="20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</row>
    <row r="265" spans="1:200" ht="20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</row>
    <row r="266" spans="1:200" ht="20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</row>
    <row r="267" spans="1:200" ht="20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</row>
    <row r="268" spans="1:200" ht="20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</row>
    <row r="269" spans="1:200" ht="20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</row>
    <row r="270" spans="1:200" ht="20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</row>
    <row r="271" spans="1:200" ht="20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</row>
    <row r="272" spans="1:200" ht="20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</row>
    <row r="273" spans="1:200" ht="20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</row>
    <row r="274" spans="1:200" ht="20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</row>
    <row r="275" spans="1:200" ht="20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</row>
    <row r="276" spans="1:200" ht="20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</row>
    <row r="277" spans="1:200" ht="20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</row>
    <row r="278" spans="1:200" ht="20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</row>
    <row r="279" spans="1:200" ht="20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</row>
    <row r="280" spans="1:200" ht="20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</row>
    <row r="281" spans="1:200" ht="20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</row>
    <row r="282" spans="1:200" ht="20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</row>
    <row r="283" spans="1:200" ht="20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</row>
    <row r="284" spans="1:200" ht="20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</row>
    <row r="285" spans="1:200" ht="20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</row>
    <row r="286" spans="1:200" ht="20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</row>
    <row r="287" spans="1:200" ht="20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</row>
    <row r="288" spans="1:200" ht="20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</row>
    <row r="289" spans="1:200" ht="20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</row>
    <row r="290" spans="1:200" ht="20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</row>
    <row r="291" spans="1:200" ht="20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</row>
    <row r="292" spans="1:200" ht="20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</row>
    <row r="293" spans="1:200" ht="20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</row>
    <row r="294" spans="1:200" ht="20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</row>
    <row r="295" spans="1:200" ht="20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</row>
    <row r="296" spans="1:200" ht="20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</row>
    <row r="297" spans="1:200" ht="20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</row>
    <row r="298" spans="1:200" ht="20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</row>
    <row r="299" spans="1:200" ht="20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</row>
    <row r="300" spans="1:200" ht="20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</row>
    <row r="301" spans="1:200" ht="20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</row>
    <row r="302" spans="1:200" ht="20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</row>
    <row r="303" spans="1:200" ht="20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</row>
    <row r="304" spans="1:200" ht="20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</row>
    <row r="305" spans="1:200" ht="20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</row>
    <row r="306" spans="1:200" ht="20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</row>
    <row r="307" spans="1:200" ht="20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</row>
    <row r="308" spans="1:200" ht="20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</row>
    <row r="309" spans="1:200" ht="20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</row>
    <row r="310" spans="1:200" ht="20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</row>
    <row r="311" spans="1:200" ht="20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</row>
    <row r="312" spans="1:200" ht="20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</row>
    <row r="313" spans="1:200" ht="20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</row>
    <row r="314" spans="1:200" ht="20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</row>
    <row r="315" spans="1:200" ht="20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</row>
    <row r="316" spans="1:200" ht="20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</row>
    <row r="317" spans="1:200" ht="20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</row>
    <row r="318" spans="1:200" ht="20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</row>
    <row r="319" spans="1:200" ht="20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</row>
    <row r="320" spans="1:200" ht="20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</row>
    <row r="321" spans="1:200" ht="20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</row>
    <row r="322" spans="1:200" ht="20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</row>
    <row r="323" spans="1:200" ht="20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</row>
    <row r="324" spans="1:200" ht="20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</row>
    <row r="325" spans="1:200" ht="20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</row>
    <row r="326" spans="1:200" ht="20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</row>
    <row r="327" spans="1:200" ht="20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</row>
    <row r="328" spans="1:200" ht="20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</row>
    <row r="329" spans="1:200" ht="20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</row>
    <row r="330" spans="1:200" ht="20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</row>
    <row r="331" spans="1:200" ht="20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</row>
    <row r="332" spans="1:200" ht="20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</row>
    <row r="333" spans="1:200" ht="20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</row>
    <row r="334" spans="1:200" ht="20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</row>
    <row r="335" spans="1:200" ht="20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</row>
    <row r="336" spans="1:200" ht="20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</row>
    <row r="337" spans="1:200" ht="20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</row>
    <row r="338" spans="1:200" ht="20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</row>
    <row r="339" spans="1:200" ht="20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</row>
    <row r="340" spans="1:200" ht="20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</row>
    <row r="341" spans="1:200" ht="20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</row>
    <row r="342" spans="1:200" ht="20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</row>
    <row r="343" spans="1:200" ht="20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</row>
    <row r="344" spans="1:200" ht="20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</row>
    <row r="345" spans="1:200" ht="20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</row>
    <row r="346" spans="1:200" ht="20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</row>
    <row r="347" spans="1:200" ht="20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</row>
    <row r="348" spans="1:200" ht="20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</row>
    <row r="349" spans="1:200" ht="20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</row>
    <row r="350" spans="1:200" ht="20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</row>
    <row r="351" spans="1:200" ht="20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</row>
    <row r="352" spans="1:200" ht="20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</row>
    <row r="353" spans="1:200" ht="20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</row>
    <row r="354" spans="1:200" ht="20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</row>
    <row r="355" spans="1:200" ht="20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</row>
    <row r="356" spans="1:200" ht="20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</row>
    <row r="357" spans="1:200" ht="20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</row>
    <row r="358" spans="1:200" ht="20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</row>
    <row r="359" spans="1:200" ht="20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</row>
    <row r="360" spans="1:200" ht="20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</row>
    <row r="361" spans="1:200" ht="20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</row>
    <row r="362" spans="1:200" ht="20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</row>
    <row r="363" spans="1:200" ht="20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</row>
    <row r="364" spans="1:200" ht="20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</row>
    <row r="365" spans="1:200" ht="20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</row>
    <row r="366" spans="1:200" ht="20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</row>
    <row r="367" spans="1:200" ht="20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</row>
    <row r="368" spans="1:200" ht="20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</row>
    <row r="369" spans="1:200" ht="20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</row>
    <row r="370" spans="1:200" ht="20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</row>
    <row r="371" spans="1:200" ht="20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</row>
    <row r="372" spans="1:200" ht="20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</row>
    <row r="373" spans="1:200" ht="20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</row>
    <row r="374" spans="1:200" ht="20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</row>
    <row r="375" spans="1:200" ht="20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</row>
    <row r="376" spans="1:200" ht="20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</row>
    <row r="377" spans="1:200" ht="20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</row>
    <row r="378" spans="1:200" ht="20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</row>
    <row r="379" spans="1:200" ht="20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</row>
    <row r="380" spans="1:200" ht="20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</row>
    <row r="381" spans="1:200" ht="20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</row>
    <row r="382" spans="1:200" ht="20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</row>
    <row r="383" spans="1:200" ht="20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</row>
    <row r="384" spans="1:200" ht="20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</row>
    <row r="385" spans="1:200" ht="20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</row>
    <row r="386" spans="1:200" ht="20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</row>
    <row r="387" spans="1:200" ht="20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</row>
    <row r="388" spans="1:200" ht="20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</row>
    <row r="389" spans="1:200" ht="20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</row>
    <row r="390" spans="1:200" ht="20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</row>
    <row r="391" spans="1:200" ht="20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</row>
    <row r="392" spans="1:200" ht="20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</row>
    <row r="393" spans="1:200" ht="20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</row>
    <row r="394" spans="1:200" ht="20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</row>
    <row r="395" spans="1:200" ht="20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</row>
    <row r="396" spans="1:200" ht="20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</row>
    <row r="397" spans="1:200" ht="20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</row>
    <row r="398" spans="1:200" ht="20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</row>
    <row r="399" spans="1:200" ht="20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</row>
    <row r="400" spans="1:200" ht="20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</row>
    <row r="401" spans="1:200" ht="20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</row>
    <row r="402" spans="1:200" ht="20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</row>
    <row r="403" spans="1:200" ht="20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</row>
    <row r="404" spans="1:200" ht="20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</row>
    <row r="405" spans="1:200" ht="20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</row>
    <row r="406" spans="1:200" ht="20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</row>
    <row r="407" spans="1:200" ht="20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</row>
    <row r="408" spans="1:200" ht="20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</row>
    <row r="409" spans="1:200" ht="20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</row>
    <row r="410" spans="1:200" ht="20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</row>
    <row r="411" spans="1:200" ht="20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</row>
    <row r="412" spans="1:200" ht="20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</row>
    <row r="413" spans="1:200" ht="20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</row>
    <row r="414" spans="1:200" ht="20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</row>
    <row r="415" spans="1:200" ht="20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</row>
    <row r="416" spans="1:200" ht="20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</row>
    <row r="417" spans="1:200" ht="20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</row>
    <row r="418" spans="1:200" ht="20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</row>
    <row r="419" spans="1:200" ht="20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</row>
    <row r="420" spans="1:200" ht="20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</row>
    <row r="421" spans="1:200" ht="20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</row>
    <row r="422" spans="1:200" ht="20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</row>
    <row r="423" spans="1:200" ht="20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</row>
    <row r="424" spans="1:200" ht="20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</row>
    <row r="425" spans="1:200" ht="20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</row>
    <row r="426" spans="1:200" ht="20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</row>
    <row r="427" spans="1:200" ht="20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</row>
    <row r="428" spans="1:200" ht="20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</row>
    <row r="429" spans="1:200" ht="20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</row>
    <row r="430" spans="1:200" ht="20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</row>
    <row r="431" spans="1:200" ht="20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</row>
    <row r="432" spans="1:200" ht="20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</row>
    <row r="433" spans="1:200" ht="20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</row>
    <row r="434" spans="1:200" ht="20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</row>
    <row r="435" spans="1:200" ht="20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</row>
    <row r="436" spans="1:200" ht="20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</row>
    <row r="437" spans="1:200" ht="20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</row>
    <row r="438" spans="1:200" ht="20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</row>
    <row r="439" spans="1:200" ht="20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</row>
    <row r="440" spans="1:200" ht="20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</row>
    <row r="441" spans="1:200" ht="20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</row>
    <row r="442" spans="1:200" ht="20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</row>
    <row r="443" spans="1:200" ht="20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</row>
    <row r="444" spans="1:200" ht="20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</row>
    <row r="445" spans="1:200" ht="20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</row>
    <row r="446" spans="1:200" ht="20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</row>
    <row r="447" spans="1:200" ht="20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</row>
    <row r="448" spans="1:200" ht="20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</row>
    <row r="449" spans="1:200" ht="20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</row>
    <row r="450" spans="1:200" ht="20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</row>
    <row r="451" spans="1:200" ht="20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</row>
    <row r="452" spans="1:200" ht="20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</row>
    <row r="453" spans="1:200" ht="20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</row>
    <row r="454" spans="1:200" ht="20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</row>
    <row r="455" spans="1:200" ht="20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</row>
    <row r="456" spans="1:200" ht="20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</row>
    <row r="457" spans="1:200" ht="20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</row>
    <row r="458" spans="1:200" ht="20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</row>
    <row r="459" spans="1:200" ht="20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</row>
    <row r="460" spans="1:200" ht="20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</row>
    <row r="461" spans="1:200" ht="20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</row>
    <row r="462" spans="1:200" ht="20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</row>
    <row r="463" spans="1:200" ht="20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</row>
    <row r="464" spans="1:200" ht="20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</row>
    <row r="465" spans="1:200" ht="20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</row>
    <row r="466" spans="1:200" ht="20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</row>
    <row r="467" spans="1:200" ht="20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</row>
    <row r="468" spans="1:200" ht="20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</row>
    <row r="469" spans="1:200" ht="20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</row>
    <row r="470" spans="1:200" ht="20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</row>
    <row r="471" spans="1:200" ht="20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</row>
    <row r="472" spans="1:200" ht="20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</row>
    <row r="473" spans="1:200" ht="20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</row>
    <row r="474" spans="1:200" ht="20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</row>
    <row r="475" spans="1:200" ht="20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</row>
    <row r="476" spans="1:200" ht="20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</row>
    <row r="477" spans="1:200" ht="20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</row>
    <row r="478" spans="1:200" ht="20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</row>
    <row r="479" spans="1:200" ht="20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</row>
    <row r="480" spans="1:200" ht="20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</row>
    <row r="481" spans="1:200" ht="20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</row>
    <row r="482" spans="1:200" ht="20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</row>
    <row r="483" spans="1:200" ht="20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</row>
    <row r="484" spans="1:200" ht="20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</row>
    <row r="485" spans="1:200" ht="20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</row>
    <row r="486" spans="1:200" ht="20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</row>
    <row r="487" spans="1:200" ht="20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</row>
    <row r="488" spans="1:200" ht="20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</row>
    <row r="489" spans="1:200" ht="20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</row>
    <row r="490" spans="1:200" ht="20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</row>
    <row r="491" spans="1:200" ht="20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</row>
    <row r="492" spans="1:200" ht="20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</row>
    <row r="493" spans="1:200" ht="20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</row>
    <row r="494" spans="1:200" ht="20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</row>
    <row r="495" spans="1:200" ht="20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</row>
    <row r="496" spans="1:200" ht="20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</row>
    <row r="497" spans="1:200" ht="20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</row>
    <row r="498" spans="1:200" ht="20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</row>
    <row r="499" spans="1:200" ht="20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</row>
    <row r="500" spans="1:200" ht="20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</row>
  </sheetData>
  <sheetProtection sheet="1"/>
  <dataValidations count="1">
    <dataValidation type="list" error="Choose June 30 or December 31" sqref="D18" xr:uid="{00000000-0002-0000-0300-000000000000}">
      <formula1>"30-Jun,31-Dec"</formula1>
    </dataValidation>
  </dataValidations>
  <pageMargins left="0.75" right="0.75" top="1" bottom="1" header="0.511811023622047" footer="0.511811023622047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 tint="-0.14999847407452621"/>
  </sheetPr>
  <dimension ref="A1:GR500"/>
  <sheetViews>
    <sheetView showGridLines="0" tabSelected="1" zoomScale="104" zoomScaleNormal="91" workbookViewId="0">
      <selection activeCell="I17" sqref="I17"/>
    </sheetView>
  </sheetViews>
  <sheetFormatPr baseColWidth="10" defaultColWidth="8.6640625" defaultRowHeight="20" customHeight="1" x14ac:dyDescent="0.2"/>
  <cols>
    <col min="1" max="1" width="2" customWidth="1"/>
    <col min="2" max="2" width="4" customWidth="1"/>
    <col min="3" max="3" width="24" customWidth="1"/>
    <col min="4" max="4" width="22" customWidth="1"/>
    <col min="5" max="5" width="20" customWidth="1"/>
    <col min="6" max="6" width="34" customWidth="1"/>
    <col min="7" max="7" width="26" customWidth="1"/>
    <col min="8" max="8" width="16" customWidth="1"/>
    <col min="9" max="10" width="14" customWidth="1"/>
  </cols>
  <sheetData>
    <row r="1" spans="1:200" ht="20" customHeight="1" thickBot="1" x14ac:dyDescent="0.25">
      <c r="A1" s="2"/>
      <c r="B1" s="2"/>
      <c r="C1" s="2"/>
      <c r="D1" s="2"/>
      <c r="E1" s="2"/>
      <c r="F1" s="2"/>
      <c r="G1" s="2"/>
      <c r="H1" s="2"/>
      <c r="I1" s="2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</row>
    <row r="2" spans="1:200" ht="20" customHeight="1" thickBot="1" x14ac:dyDescent="0.25">
      <c r="A2" s="2"/>
      <c r="B2" s="42" t="s">
        <v>137</v>
      </c>
      <c r="C2" s="43"/>
      <c r="D2" s="43"/>
      <c r="E2" s="43"/>
      <c r="F2" s="43"/>
      <c r="G2" s="43"/>
      <c r="H2" s="44"/>
      <c r="I2" s="8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</row>
    <row r="3" spans="1:200" ht="20" customHeight="1" x14ac:dyDescent="0.2">
      <c r="A3" s="2"/>
      <c r="B3" s="8"/>
      <c r="C3" s="9" t="s">
        <v>138</v>
      </c>
      <c r="D3" s="8"/>
      <c r="E3" s="8"/>
      <c r="F3" s="8"/>
      <c r="G3" s="8"/>
      <c r="H3" s="8"/>
      <c r="I3" s="8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</row>
    <row r="4" spans="1:200" ht="20" customHeight="1" thickBot="1" x14ac:dyDescent="0.25">
      <c r="A4" s="2"/>
      <c r="B4" s="12" t="s">
        <v>86</v>
      </c>
      <c r="C4" s="8"/>
      <c r="D4" s="8"/>
      <c r="E4" s="8"/>
      <c r="F4" s="8"/>
      <c r="G4" s="8"/>
      <c r="H4" s="8"/>
      <c r="I4" s="8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</row>
    <row r="5" spans="1:200" ht="20" customHeight="1" thickBot="1" x14ac:dyDescent="0.25">
      <c r="A5" s="2"/>
      <c r="B5" s="51" t="s">
        <v>139</v>
      </c>
      <c r="C5" s="52" t="s">
        <v>140</v>
      </c>
      <c r="D5" s="52" t="s">
        <v>141</v>
      </c>
      <c r="E5" s="52" t="s">
        <v>142</v>
      </c>
      <c r="F5" s="52" t="s">
        <v>143</v>
      </c>
      <c r="G5" s="52" t="s">
        <v>144</v>
      </c>
      <c r="H5" s="53" t="s">
        <v>145</v>
      </c>
      <c r="I5" s="8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</row>
    <row r="6" spans="1:200" ht="20" customHeight="1" x14ac:dyDescent="0.2">
      <c r="A6" s="2"/>
      <c r="B6" s="15">
        <v>1</v>
      </c>
      <c r="C6" s="14" t="s">
        <v>146</v>
      </c>
      <c r="D6" s="14" t="s">
        <v>147</v>
      </c>
      <c r="E6" s="14" t="s">
        <v>148</v>
      </c>
      <c r="F6" s="14" t="s">
        <v>149</v>
      </c>
      <c r="G6" s="14" t="s">
        <v>150</v>
      </c>
      <c r="H6" s="14" t="s">
        <v>151</v>
      </c>
      <c r="I6" s="8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</row>
    <row r="7" spans="1:200" ht="20" customHeight="1" x14ac:dyDescent="0.2">
      <c r="A7" s="2"/>
      <c r="B7" s="15">
        <v>2</v>
      </c>
      <c r="C7" s="14" t="s">
        <v>146</v>
      </c>
      <c r="D7" s="14" t="s">
        <v>147</v>
      </c>
      <c r="E7" s="14" t="s">
        <v>148</v>
      </c>
      <c r="F7" s="14" t="s">
        <v>152</v>
      </c>
      <c r="G7" s="14" t="s">
        <v>153</v>
      </c>
      <c r="H7" s="14" t="s">
        <v>151</v>
      </c>
      <c r="I7" s="8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</row>
    <row r="8" spans="1:200" ht="20" customHeight="1" x14ac:dyDescent="0.2">
      <c r="A8" s="2"/>
      <c r="B8" s="15">
        <v>3</v>
      </c>
      <c r="C8" s="14" t="s">
        <v>146</v>
      </c>
      <c r="D8" s="14" t="s">
        <v>147</v>
      </c>
      <c r="E8" s="14" t="s">
        <v>148</v>
      </c>
      <c r="F8" s="14" t="s">
        <v>154</v>
      </c>
      <c r="G8" s="14" t="s">
        <v>150</v>
      </c>
      <c r="H8" s="14" t="s">
        <v>151</v>
      </c>
      <c r="I8" s="8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</row>
    <row r="9" spans="1:200" ht="20" customHeight="1" x14ac:dyDescent="0.2">
      <c r="A9" s="2"/>
      <c r="B9" s="15">
        <v>4</v>
      </c>
      <c r="C9" s="14" t="s">
        <v>146</v>
      </c>
      <c r="D9" s="14" t="s">
        <v>147</v>
      </c>
      <c r="E9" s="14" t="s">
        <v>155</v>
      </c>
      <c r="F9" s="14" t="s">
        <v>156</v>
      </c>
      <c r="G9" s="14" t="s">
        <v>157</v>
      </c>
      <c r="H9" s="14" t="s">
        <v>151</v>
      </c>
      <c r="I9" s="8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</row>
    <row r="10" spans="1:200" ht="20" customHeight="1" x14ac:dyDescent="0.2">
      <c r="A10" s="2"/>
      <c r="B10" s="15">
        <v>5</v>
      </c>
      <c r="C10" s="14" t="s">
        <v>146</v>
      </c>
      <c r="D10" s="14" t="s">
        <v>147</v>
      </c>
      <c r="E10" s="14" t="s">
        <v>155</v>
      </c>
      <c r="F10" s="14" t="s">
        <v>158</v>
      </c>
      <c r="G10" s="14" t="s">
        <v>157</v>
      </c>
      <c r="H10" s="14" t="s">
        <v>151</v>
      </c>
      <c r="I10" s="8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</row>
    <row r="11" spans="1:200" ht="20" customHeight="1" x14ac:dyDescent="0.2">
      <c r="A11" s="2"/>
      <c r="B11" s="15">
        <v>6</v>
      </c>
      <c r="C11" s="14" t="s">
        <v>146</v>
      </c>
      <c r="D11" s="14" t="s">
        <v>147</v>
      </c>
      <c r="E11" s="14" t="s">
        <v>159</v>
      </c>
      <c r="F11" s="14" t="s">
        <v>160</v>
      </c>
      <c r="G11" s="14" t="s">
        <v>161</v>
      </c>
      <c r="H11" s="14" t="s">
        <v>162</v>
      </c>
      <c r="I11" s="8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</row>
    <row r="12" spans="1:200" ht="20" customHeight="1" x14ac:dyDescent="0.2">
      <c r="A12" s="2"/>
      <c r="B12" s="15">
        <v>7</v>
      </c>
      <c r="C12" s="14" t="s">
        <v>146</v>
      </c>
      <c r="D12" s="14" t="s">
        <v>163</v>
      </c>
      <c r="E12" s="14" t="s">
        <v>164</v>
      </c>
      <c r="F12" s="14" t="s">
        <v>165</v>
      </c>
      <c r="G12" s="14" t="s">
        <v>166</v>
      </c>
      <c r="H12" s="14" t="s">
        <v>167</v>
      </c>
      <c r="I12" s="8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</row>
    <row r="13" spans="1:200" ht="20" customHeight="1" x14ac:dyDescent="0.2">
      <c r="A13" s="2"/>
      <c r="B13" s="15">
        <v>8</v>
      </c>
      <c r="C13" s="14" t="s">
        <v>146</v>
      </c>
      <c r="D13" s="14" t="s">
        <v>163</v>
      </c>
      <c r="E13" s="14" t="s">
        <v>164</v>
      </c>
      <c r="F13" s="14" t="s">
        <v>168</v>
      </c>
      <c r="G13" s="14" t="s">
        <v>166</v>
      </c>
      <c r="H13" s="14" t="s">
        <v>167</v>
      </c>
      <c r="I13" s="8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</row>
    <row r="14" spans="1:200" ht="20" customHeight="1" x14ac:dyDescent="0.2">
      <c r="A14" s="2"/>
      <c r="B14" s="15">
        <v>9</v>
      </c>
      <c r="C14" s="14" t="s">
        <v>146</v>
      </c>
      <c r="D14" s="14" t="s">
        <v>163</v>
      </c>
      <c r="E14" s="14" t="s">
        <v>164</v>
      </c>
      <c r="F14" s="14" t="s">
        <v>169</v>
      </c>
      <c r="G14" s="14" t="s">
        <v>166</v>
      </c>
      <c r="H14" s="14" t="s">
        <v>167</v>
      </c>
      <c r="I14" s="8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</row>
    <row r="15" spans="1:200" ht="20" customHeight="1" x14ac:dyDescent="0.2">
      <c r="A15" s="2"/>
      <c r="B15" s="15">
        <v>10</v>
      </c>
      <c r="C15" s="14" t="s">
        <v>146</v>
      </c>
      <c r="D15" s="14" t="s">
        <v>163</v>
      </c>
      <c r="E15" s="14" t="s">
        <v>170</v>
      </c>
      <c r="F15" s="14" t="s">
        <v>171</v>
      </c>
      <c r="G15" s="14" t="s">
        <v>172</v>
      </c>
      <c r="H15" s="14" t="s">
        <v>167</v>
      </c>
      <c r="I15" s="8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</row>
    <row r="16" spans="1:200" ht="20" customHeight="1" x14ac:dyDescent="0.2">
      <c r="A16" s="2"/>
      <c r="B16" s="15">
        <v>11</v>
      </c>
      <c r="C16" s="14" t="s">
        <v>146</v>
      </c>
      <c r="D16" s="14" t="s">
        <v>163</v>
      </c>
      <c r="E16" s="14" t="s">
        <v>170</v>
      </c>
      <c r="F16" s="14" t="s">
        <v>173</v>
      </c>
      <c r="G16" s="14" t="s">
        <v>172</v>
      </c>
      <c r="H16" s="14" t="s">
        <v>167</v>
      </c>
      <c r="I16" s="8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</row>
    <row r="17" spans="1:200" ht="20" customHeight="1" x14ac:dyDescent="0.2">
      <c r="A17" s="2"/>
      <c r="B17" s="15">
        <v>12</v>
      </c>
      <c r="C17" s="14" t="s">
        <v>146</v>
      </c>
      <c r="D17" s="14" t="s">
        <v>163</v>
      </c>
      <c r="E17" s="14" t="s">
        <v>174</v>
      </c>
      <c r="F17" s="14" t="s">
        <v>175</v>
      </c>
      <c r="G17" s="14" t="s">
        <v>176</v>
      </c>
      <c r="H17" s="14" t="s">
        <v>167</v>
      </c>
      <c r="I17" s="8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</row>
    <row r="18" spans="1:200" ht="20" customHeight="1" x14ac:dyDescent="0.2">
      <c r="A18" s="2"/>
      <c r="B18" s="15">
        <v>13</v>
      </c>
      <c r="C18" s="14" t="s">
        <v>146</v>
      </c>
      <c r="D18" s="14" t="s">
        <v>163</v>
      </c>
      <c r="E18" s="14" t="s">
        <v>174</v>
      </c>
      <c r="F18" s="14" t="s">
        <v>177</v>
      </c>
      <c r="G18" s="14" t="s">
        <v>178</v>
      </c>
      <c r="H18" s="14" t="s">
        <v>167</v>
      </c>
      <c r="I18" s="8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</row>
    <row r="19" spans="1:200" ht="20" customHeight="1" x14ac:dyDescent="0.2">
      <c r="A19" s="2"/>
      <c r="B19" s="15">
        <v>14</v>
      </c>
      <c r="C19" s="14" t="s">
        <v>179</v>
      </c>
      <c r="D19" s="14" t="s">
        <v>180</v>
      </c>
      <c r="E19" s="14" t="s">
        <v>181</v>
      </c>
      <c r="F19" s="14" t="s">
        <v>182</v>
      </c>
      <c r="G19" s="14" t="s">
        <v>183</v>
      </c>
      <c r="H19" s="14" t="s">
        <v>162</v>
      </c>
      <c r="I19" s="8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</row>
    <row r="20" spans="1:200" ht="20" customHeight="1" x14ac:dyDescent="0.2">
      <c r="A20" s="2"/>
      <c r="B20" s="15">
        <v>15</v>
      </c>
      <c r="C20" s="14" t="s">
        <v>179</v>
      </c>
      <c r="D20" s="14" t="s">
        <v>180</v>
      </c>
      <c r="E20" s="14" t="s">
        <v>181</v>
      </c>
      <c r="F20" s="14" t="s">
        <v>184</v>
      </c>
      <c r="G20" s="14" t="s">
        <v>185</v>
      </c>
      <c r="H20" s="14" t="s">
        <v>162</v>
      </c>
      <c r="I20" s="8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</row>
    <row r="21" spans="1:200" ht="20" customHeight="1" x14ac:dyDescent="0.2">
      <c r="A21" s="2"/>
      <c r="B21" s="15">
        <v>16</v>
      </c>
      <c r="C21" s="14" t="s">
        <v>179</v>
      </c>
      <c r="D21" s="14" t="s">
        <v>180</v>
      </c>
      <c r="E21" s="14" t="s">
        <v>186</v>
      </c>
      <c r="F21" s="14" t="s">
        <v>187</v>
      </c>
      <c r="G21" s="14" t="s">
        <v>188</v>
      </c>
      <c r="H21" s="14" t="s">
        <v>162</v>
      </c>
      <c r="I21" s="8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</row>
    <row r="22" spans="1:200" ht="20" customHeight="1" x14ac:dyDescent="0.2">
      <c r="A22" s="2"/>
      <c r="B22" s="15">
        <v>17</v>
      </c>
      <c r="C22" s="14" t="s">
        <v>179</v>
      </c>
      <c r="D22" s="14" t="s">
        <v>180</v>
      </c>
      <c r="E22" s="14" t="s">
        <v>186</v>
      </c>
      <c r="F22" s="14" t="s">
        <v>189</v>
      </c>
      <c r="G22" s="14" t="s">
        <v>190</v>
      </c>
      <c r="H22" s="14" t="s">
        <v>162</v>
      </c>
      <c r="I22" s="8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</row>
    <row r="23" spans="1:200" ht="20" customHeight="1" x14ac:dyDescent="0.2">
      <c r="A23" s="2"/>
      <c r="B23" s="15">
        <v>18</v>
      </c>
      <c r="C23" s="14" t="s">
        <v>179</v>
      </c>
      <c r="D23" s="14" t="s">
        <v>191</v>
      </c>
      <c r="E23" s="14" t="s">
        <v>192</v>
      </c>
      <c r="F23" s="14" t="s">
        <v>193</v>
      </c>
      <c r="G23" s="14" t="s">
        <v>194</v>
      </c>
      <c r="H23" s="14" t="s">
        <v>151</v>
      </c>
      <c r="I23" s="8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</row>
    <row r="24" spans="1:200" ht="20" customHeight="1" x14ac:dyDescent="0.2">
      <c r="A24" s="2"/>
      <c r="B24" s="15">
        <v>19</v>
      </c>
      <c r="C24" s="14" t="s">
        <v>179</v>
      </c>
      <c r="D24" s="14" t="s">
        <v>191</v>
      </c>
      <c r="E24" s="14" t="s">
        <v>195</v>
      </c>
      <c r="F24" s="14" t="s">
        <v>196</v>
      </c>
      <c r="G24" s="14" t="s">
        <v>194</v>
      </c>
      <c r="H24" s="14" t="s">
        <v>151</v>
      </c>
      <c r="I24" s="8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</row>
    <row r="25" spans="1:200" ht="20" customHeight="1" x14ac:dyDescent="0.2">
      <c r="A25" s="2"/>
      <c r="B25" s="15">
        <v>20</v>
      </c>
      <c r="C25" s="14" t="s">
        <v>179</v>
      </c>
      <c r="D25" s="14" t="s">
        <v>197</v>
      </c>
      <c r="E25" s="14" t="s">
        <v>198</v>
      </c>
      <c r="F25" s="14" t="s">
        <v>199</v>
      </c>
      <c r="G25" s="14" t="s">
        <v>200</v>
      </c>
      <c r="H25" s="14" t="s">
        <v>151</v>
      </c>
      <c r="I25" s="8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</row>
    <row r="26" spans="1:200" ht="20" customHeight="1" x14ac:dyDescent="0.2">
      <c r="A26" s="2"/>
      <c r="B26" s="15">
        <v>21</v>
      </c>
      <c r="C26" s="14"/>
      <c r="D26" s="14"/>
      <c r="E26" s="14"/>
      <c r="F26" s="14"/>
      <c r="G26" s="14"/>
      <c r="H26" s="14"/>
      <c r="I26" s="8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</row>
    <row r="27" spans="1:200" ht="20" customHeight="1" x14ac:dyDescent="0.2">
      <c r="A27" s="2"/>
      <c r="B27" s="15">
        <v>22</v>
      </c>
      <c r="C27" s="14"/>
      <c r="D27" s="14"/>
      <c r="E27" s="14"/>
      <c r="F27" s="14"/>
      <c r="G27" s="14"/>
      <c r="H27" s="14"/>
      <c r="I27" s="8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</row>
    <row r="28" spans="1:200" ht="20" customHeight="1" x14ac:dyDescent="0.2">
      <c r="A28" s="2"/>
      <c r="B28" s="15">
        <v>23</v>
      </c>
      <c r="C28" s="14"/>
      <c r="D28" s="14"/>
      <c r="E28" s="14"/>
      <c r="F28" s="14"/>
      <c r="G28" s="14"/>
      <c r="H28" s="14"/>
      <c r="I28" s="8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</row>
    <row r="29" spans="1:200" ht="20" customHeight="1" x14ac:dyDescent="0.2">
      <c r="A29" s="2"/>
      <c r="B29" s="15">
        <v>24</v>
      </c>
      <c r="C29" s="14"/>
      <c r="D29" s="14"/>
      <c r="E29" s="14"/>
      <c r="F29" s="14"/>
      <c r="G29" s="14"/>
      <c r="H29" s="14"/>
      <c r="I29" s="8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</row>
    <row r="30" spans="1:200" ht="20" customHeight="1" x14ac:dyDescent="0.2">
      <c r="A30" s="2"/>
      <c r="B30" s="15">
        <v>25</v>
      </c>
      <c r="C30" s="14"/>
      <c r="D30" s="14"/>
      <c r="E30" s="14"/>
      <c r="F30" s="14"/>
      <c r="G30" s="14"/>
      <c r="H30" s="14"/>
      <c r="I30" s="8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</row>
    <row r="31" spans="1:200" ht="20" customHeight="1" x14ac:dyDescent="0.2">
      <c r="A31" s="2"/>
      <c r="B31" s="15">
        <v>26</v>
      </c>
      <c r="C31" s="14"/>
      <c r="D31" s="14"/>
      <c r="E31" s="14"/>
      <c r="F31" s="14"/>
      <c r="G31" s="14"/>
      <c r="H31" s="14"/>
      <c r="I31" s="8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</row>
    <row r="32" spans="1:200" ht="20" customHeight="1" x14ac:dyDescent="0.2">
      <c r="A32" s="2"/>
      <c r="B32" s="15">
        <v>27</v>
      </c>
      <c r="C32" s="14"/>
      <c r="D32" s="14"/>
      <c r="E32" s="14"/>
      <c r="F32" s="14"/>
      <c r="G32" s="14"/>
      <c r="H32" s="14"/>
      <c r="I32" s="8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</row>
    <row r="33" spans="1:200" ht="20" customHeight="1" x14ac:dyDescent="0.2">
      <c r="A33" s="2"/>
      <c r="B33" s="15">
        <v>28</v>
      </c>
      <c r="C33" s="14"/>
      <c r="D33" s="14"/>
      <c r="E33" s="14"/>
      <c r="F33" s="14"/>
      <c r="G33" s="14"/>
      <c r="H33" s="14"/>
      <c r="I33" s="8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</row>
    <row r="34" spans="1:200" ht="20" customHeight="1" x14ac:dyDescent="0.2">
      <c r="A34" s="2"/>
      <c r="B34" s="15">
        <v>29</v>
      </c>
      <c r="C34" s="14"/>
      <c r="D34" s="14"/>
      <c r="E34" s="14"/>
      <c r="F34" s="14"/>
      <c r="G34" s="14"/>
      <c r="H34" s="14"/>
      <c r="I34" s="8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</row>
    <row r="35" spans="1:200" ht="20" customHeight="1" x14ac:dyDescent="0.2">
      <c r="A35" s="2"/>
      <c r="B35" s="15">
        <v>30</v>
      </c>
      <c r="C35" s="14"/>
      <c r="D35" s="14"/>
      <c r="E35" s="14"/>
      <c r="F35" s="14"/>
      <c r="G35" s="14"/>
      <c r="H35" s="14"/>
      <c r="I35" s="8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</row>
    <row r="36" spans="1:200" ht="20" customHeight="1" x14ac:dyDescent="0.2">
      <c r="A36" s="2"/>
      <c r="B36" s="15">
        <v>31</v>
      </c>
      <c r="C36" s="14"/>
      <c r="D36" s="14"/>
      <c r="E36" s="14"/>
      <c r="F36" s="14"/>
      <c r="G36" s="14"/>
      <c r="H36" s="14"/>
      <c r="I36" s="8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</row>
    <row r="37" spans="1:200" ht="20" customHeight="1" x14ac:dyDescent="0.2">
      <c r="A37" s="2"/>
      <c r="B37" s="15">
        <v>32</v>
      </c>
      <c r="C37" s="14"/>
      <c r="D37" s="14"/>
      <c r="E37" s="14"/>
      <c r="F37" s="14"/>
      <c r="G37" s="14"/>
      <c r="H37" s="14"/>
      <c r="I37" s="8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</row>
    <row r="38" spans="1:200" ht="20" customHeight="1" x14ac:dyDescent="0.2">
      <c r="A38" s="2"/>
      <c r="B38" s="15">
        <v>33</v>
      </c>
      <c r="C38" s="14"/>
      <c r="D38" s="14"/>
      <c r="E38" s="14"/>
      <c r="F38" s="14"/>
      <c r="G38" s="14"/>
      <c r="H38" s="14"/>
      <c r="I38" s="8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</row>
    <row r="39" spans="1:200" ht="20" customHeight="1" x14ac:dyDescent="0.2">
      <c r="A39" s="2"/>
      <c r="B39" s="15">
        <v>34</v>
      </c>
      <c r="C39" s="14"/>
      <c r="D39" s="14"/>
      <c r="E39" s="14"/>
      <c r="F39" s="14"/>
      <c r="G39" s="14"/>
      <c r="H39" s="14"/>
      <c r="I39" s="8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</row>
    <row r="40" spans="1:200" ht="20" customHeight="1" x14ac:dyDescent="0.2">
      <c r="A40" s="2"/>
      <c r="B40" s="15">
        <v>35</v>
      </c>
      <c r="C40" s="14"/>
      <c r="D40" s="14"/>
      <c r="E40" s="14"/>
      <c r="F40" s="14"/>
      <c r="G40" s="14"/>
      <c r="H40" s="14"/>
      <c r="I40" s="8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</row>
    <row r="41" spans="1:200" ht="20" customHeight="1" x14ac:dyDescent="0.2">
      <c r="A41" s="2"/>
      <c r="B41" s="15">
        <v>36</v>
      </c>
      <c r="C41" s="14"/>
      <c r="D41" s="14"/>
      <c r="E41" s="14"/>
      <c r="F41" s="14"/>
      <c r="G41" s="14"/>
      <c r="H41" s="14"/>
      <c r="I41" s="8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</row>
    <row r="42" spans="1:200" ht="20" customHeight="1" x14ac:dyDescent="0.2">
      <c r="A42" s="2"/>
      <c r="B42" s="15">
        <v>37</v>
      </c>
      <c r="C42" s="14"/>
      <c r="D42" s="14"/>
      <c r="E42" s="14"/>
      <c r="F42" s="14"/>
      <c r="G42" s="14"/>
      <c r="H42" s="14"/>
      <c r="I42" s="8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</row>
    <row r="43" spans="1:200" ht="20" customHeight="1" x14ac:dyDescent="0.2">
      <c r="A43" s="2"/>
      <c r="B43" s="15">
        <v>38</v>
      </c>
      <c r="C43" s="14"/>
      <c r="D43" s="14"/>
      <c r="E43" s="14"/>
      <c r="F43" s="14"/>
      <c r="G43" s="14"/>
      <c r="H43" s="14"/>
      <c r="I43" s="8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</row>
    <row r="44" spans="1:200" ht="20" customHeight="1" x14ac:dyDescent="0.2">
      <c r="A44" s="2"/>
      <c r="B44" s="15">
        <v>39</v>
      </c>
      <c r="C44" s="14"/>
      <c r="D44" s="14"/>
      <c r="E44" s="14"/>
      <c r="F44" s="14"/>
      <c r="G44" s="14"/>
      <c r="H44" s="14"/>
      <c r="I44" s="8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</row>
    <row r="45" spans="1:200" ht="20" customHeight="1" x14ac:dyDescent="0.2">
      <c r="A45" s="2"/>
      <c r="B45" s="15">
        <v>40</v>
      </c>
      <c r="C45" s="14"/>
      <c r="D45" s="14"/>
      <c r="E45" s="14"/>
      <c r="F45" s="14"/>
      <c r="G45" s="14"/>
      <c r="H45" s="14"/>
      <c r="I45" s="8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</row>
    <row r="46" spans="1:200" ht="20" customHeight="1" x14ac:dyDescent="0.2">
      <c r="A46" s="2"/>
      <c r="B46" s="15">
        <v>41</v>
      </c>
      <c r="C46" s="14"/>
      <c r="D46" s="14"/>
      <c r="E46" s="14"/>
      <c r="F46" s="14"/>
      <c r="G46" s="14"/>
      <c r="H46" s="14"/>
      <c r="I46" s="8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</row>
    <row r="47" spans="1:200" ht="20" customHeight="1" x14ac:dyDescent="0.2">
      <c r="A47" s="2"/>
      <c r="B47" s="15">
        <v>42</v>
      </c>
      <c r="C47" s="14"/>
      <c r="D47" s="14"/>
      <c r="E47" s="14"/>
      <c r="F47" s="14"/>
      <c r="G47" s="14"/>
      <c r="H47" s="14"/>
      <c r="I47" s="8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</row>
    <row r="48" spans="1:200" ht="20" customHeight="1" x14ac:dyDescent="0.2">
      <c r="A48" s="2"/>
      <c r="B48" s="15">
        <v>43</v>
      </c>
      <c r="C48" s="14"/>
      <c r="D48" s="14"/>
      <c r="E48" s="14"/>
      <c r="F48" s="14"/>
      <c r="G48" s="14"/>
      <c r="H48" s="14"/>
      <c r="I48" s="8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</row>
    <row r="49" spans="1:200" ht="20" customHeight="1" x14ac:dyDescent="0.2">
      <c r="A49" s="2"/>
      <c r="B49" s="15">
        <v>44</v>
      </c>
      <c r="C49" s="14"/>
      <c r="D49" s="14"/>
      <c r="E49" s="14"/>
      <c r="F49" s="14"/>
      <c r="G49" s="14"/>
      <c r="H49" s="14"/>
      <c r="I49" s="8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</row>
    <row r="50" spans="1:200" ht="20" customHeight="1" x14ac:dyDescent="0.2">
      <c r="A50" s="2"/>
      <c r="B50" s="15">
        <v>45</v>
      </c>
      <c r="C50" s="14"/>
      <c r="D50" s="14"/>
      <c r="E50" s="14"/>
      <c r="F50" s="14"/>
      <c r="G50" s="14"/>
      <c r="H50" s="14"/>
      <c r="I50" s="8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</row>
    <row r="51" spans="1:200" ht="20" customHeight="1" x14ac:dyDescent="0.2">
      <c r="A51" s="2"/>
      <c r="B51" s="15">
        <v>46</v>
      </c>
      <c r="C51" s="14"/>
      <c r="D51" s="14"/>
      <c r="E51" s="14"/>
      <c r="F51" s="14"/>
      <c r="G51" s="14"/>
      <c r="H51" s="14"/>
      <c r="I51" s="8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</row>
    <row r="52" spans="1:200" ht="20" customHeight="1" x14ac:dyDescent="0.2">
      <c r="A52" s="2"/>
      <c r="B52" s="15">
        <v>47</v>
      </c>
      <c r="C52" s="14"/>
      <c r="D52" s="14"/>
      <c r="E52" s="14"/>
      <c r="F52" s="14"/>
      <c r="G52" s="14"/>
      <c r="H52" s="14"/>
      <c r="I52" s="8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</row>
    <row r="53" spans="1:200" ht="20" customHeight="1" x14ac:dyDescent="0.2">
      <c r="A53" s="2"/>
      <c r="B53" s="15">
        <v>48</v>
      </c>
      <c r="C53" s="14"/>
      <c r="D53" s="14"/>
      <c r="E53" s="14"/>
      <c r="F53" s="14"/>
      <c r="G53" s="14"/>
      <c r="H53" s="14"/>
      <c r="I53" s="8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</row>
    <row r="54" spans="1:200" ht="20" customHeight="1" x14ac:dyDescent="0.2">
      <c r="A54" s="2"/>
      <c r="B54" s="15">
        <v>49</v>
      </c>
      <c r="C54" s="14"/>
      <c r="D54" s="14"/>
      <c r="E54" s="14"/>
      <c r="F54" s="14"/>
      <c r="G54" s="14"/>
      <c r="H54" s="14"/>
      <c r="I54" s="8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</row>
    <row r="55" spans="1:200" ht="20" customHeight="1" x14ac:dyDescent="0.2">
      <c r="A55" s="2"/>
      <c r="B55" s="15">
        <v>50</v>
      </c>
      <c r="C55" s="14"/>
      <c r="D55" s="14"/>
      <c r="E55" s="14"/>
      <c r="F55" s="14"/>
      <c r="G55" s="14"/>
      <c r="H55" s="14"/>
      <c r="I55" s="8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</row>
    <row r="56" spans="1:200" ht="20" customHeight="1" x14ac:dyDescent="0.2">
      <c r="A56" s="2"/>
      <c r="B56" s="8"/>
      <c r="C56" s="8"/>
      <c r="D56" s="8"/>
      <c r="E56" s="8"/>
      <c r="F56" s="8"/>
      <c r="G56" s="8"/>
      <c r="H56" s="8"/>
      <c r="I56" s="8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</row>
    <row r="57" spans="1:200" ht="20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</row>
    <row r="58" spans="1:200" ht="20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</row>
    <row r="59" spans="1:200" ht="20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</row>
    <row r="60" spans="1:200" ht="20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</row>
    <row r="61" spans="1:200" ht="20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</row>
    <row r="62" spans="1:200" ht="20" customHeight="1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</row>
    <row r="63" spans="1:200" ht="20" customHeight="1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</row>
    <row r="64" spans="1:200" ht="20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</row>
    <row r="65" spans="1:200" ht="20" customHeight="1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</row>
    <row r="66" spans="1:200" ht="20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</row>
    <row r="67" spans="1:200" ht="20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</row>
    <row r="68" spans="1:200" ht="20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</row>
    <row r="69" spans="1:200" ht="20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</row>
    <row r="70" spans="1:200" ht="20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</row>
    <row r="71" spans="1:200" ht="20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</row>
    <row r="72" spans="1:200" ht="20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</row>
    <row r="73" spans="1:200" ht="20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</row>
    <row r="74" spans="1:200" ht="20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</row>
    <row r="75" spans="1:200" ht="20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</row>
    <row r="76" spans="1:200" ht="20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</row>
    <row r="77" spans="1:200" ht="20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</row>
    <row r="78" spans="1:200" ht="20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</row>
    <row r="79" spans="1:200" ht="20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</row>
    <row r="80" spans="1:200" ht="20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</row>
    <row r="81" spans="1:200" ht="20" customHeight="1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</row>
    <row r="82" spans="1:200" ht="20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</row>
    <row r="83" spans="1:200" ht="20" customHeight="1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</row>
    <row r="84" spans="1:200" ht="20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</row>
    <row r="85" spans="1:200" ht="20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</row>
    <row r="86" spans="1:200" ht="20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</row>
    <row r="87" spans="1:200" ht="20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</row>
    <row r="88" spans="1:200" ht="20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</row>
    <row r="89" spans="1:200" ht="20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</row>
    <row r="90" spans="1:200" ht="20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</row>
    <row r="91" spans="1:200" ht="20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</row>
    <row r="92" spans="1:200" ht="20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</row>
    <row r="93" spans="1:200" ht="20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</row>
    <row r="94" spans="1:200" ht="20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</row>
    <row r="95" spans="1:200" ht="20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</row>
    <row r="96" spans="1:200" ht="20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</row>
    <row r="97" spans="1:200" ht="20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</row>
    <row r="98" spans="1:200" ht="20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</row>
    <row r="99" spans="1:200" ht="20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</row>
    <row r="100" spans="1:200" ht="20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</row>
    <row r="101" spans="1:200" ht="20" customHeight="1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</row>
    <row r="102" spans="1:200" ht="20" customHeight="1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</row>
    <row r="103" spans="1:200" ht="20" customHeight="1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</row>
    <row r="104" spans="1:200" ht="20" customHeight="1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</row>
    <row r="105" spans="1:200" ht="20" customHeight="1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</row>
    <row r="106" spans="1:200" ht="20" customHeight="1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</row>
    <row r="107" spans="1:200" ht="20" customHeight="1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</row>
    <row r="108" spans="1:200" ht="20" customHeight="1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</row>
    <row r="109" spans="1:200" ht="20" customHeight="1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</row>
    <row r="110" spans="1:200" ht="20" customHeight="1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</row>
    <row r="111" spans="1:200" ht="20" customHeight="1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</row>
    <row r="112" spans="1:200" ht="20" customHeight="1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</row>
    <row r="113" spans="1:200" ht="20" customHeight="1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</row>
    <row r="114" spans="1:200" ht="20" customHeight="1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</row>
    <row r="115" spans="1:200" ht="20" customHeight="1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</row>
    <row r="116" spans="1:200" ht="20" customHeight="1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</row>
    <row r="117" spans="1:200" ht="20" customHeight="1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</row>
    <row r="118" spans="1:200" ht="20" customHeight="1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</row>
    <row r="119" spans="1:200" ht="20" customHeight="1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</row>
    <row r="120" spans="1:200" ht="20" customHeight="1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</row>
    <row r="121" spans="1:200" ht="20" customHeight="1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</row>
    <row r="122" spans="1:200" ht="20" customHeight="1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</row>
    <row r="123" spans="1:200" ht="20" customHeight="1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</row>
    <row r="124" spans="1:200" ht="20" customHeight="1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</row>
    <row r="125" spans="1:200" ht="20" customHeight="1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</row>
    <row r="126" spans="1:200" ht="20" customHeight="1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</row>
    <row r="127" spans="1:200" ht="20" customHeight="1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</row>
    <row r="128" spans="1:200" ht="20" customHeight="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</row>
    <row r="129" spans="1:200" ht="20" customHeight="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</row>
    <row r="130" spans="1:200" ht="20" customHeight="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</row>
    <row r="131" spans="1:200" ht="20" customHeight="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</row>
    <row r="132" spans="1:200" ht="20" customHeight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</row>
    <row r="133" spans="1:200" ht="20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</row>
    <row r="134" spans="1:200" ht="20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</row>
    <row r="135" spans="1:200" ht="20" customHeight="1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</row>
    <row r="136" spans="1:200" ht="20" customHeight="1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</row>
    <row r="137" spans="1:200" ht="20" customHeight="1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</row>
    <row r="138" spans="1:200" ht="20" customHeight="1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</row>
    <row r="139" spans="1:200" ht="20" customHeight="1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</row>
    <row r="140" spans="1:200" ht="20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</row>
    <row r="141" spans="1:200" ht="20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</row>
    <row r="142" spans="1:200" ht="20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</row>
    <row r="143" spans="1:200" ht="20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</row>
    <row r="144" spans="1:200" ht="20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</row>
    <row r="145" spans="1:200" ht="20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</row>
    <row r="146" spans="1:200" ht="20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</row>
    <row r="147" spans="1:200" ht="20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</row>
    <row r="148" spans="1:200" ht="20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</row>
    <row r="149" spans="1:200" ht="20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</row>
    <row r="150" spans="1:200" ht="20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</row>
    <row r="151" spans="1:200" ht="20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</row>
    <row r="152" spans="1:200" ht="20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</row>
    <row r="153" spans="1:200" ht="20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</row>
    <row r="154" spans="1:200" ht="20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</row>
    <row r="155" spans="1:200" ht="20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</row>
    <row r="156" spans="1:200" ht="20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</row>
    <row r="157" spans="1:200" ht="20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</row>
    <row r="158" spans="1:200" ht="20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</row>
    <row r="159" spans="1:200" ht="20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</row>
    <row r="160" spans="1:200" ht="20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</row>
    <row r="161" spans="1:200" ht="20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</row>
    <row r="162" spans="1:200" ht="20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</row>
    <row r="163" spans="1:200" ht="20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</row>
    <row r="164" spans="1:200" ht="20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</row>
    <row r="165" spans="1:200" ht="20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</row>
    <row r="166" spans="1:200" ht="20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</row>
    <row r="167" spans="1:200" ht="20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</row>
    <row r="168" spans="1:200" ht="20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</row>
    <row r="169" spans="1:200" ht="20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</row>
    <row r="170" spans="1:200" ht="20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</row>
    <row r="171" spans="1:200" ht="20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</row>
    <row r="172" spans="1:200" ht="20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</row>
    <row r="173" spans="1:200" ht="20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</row>
    <row r="174" spans="1:200" ht="20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</row>
    <row r="175" spans="1:200" ht="20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</row>
    <row r="176" spans="1:200" ht="20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</row>
    <row r="177" spans="1:200" ht="20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</row>
    <row r="178" spans="1:200" ht="20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</row>
    <row r="179" spans="1:200" ht="20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</row>
    <row r="180" spans="1:200" ht="20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</row>
    <row r="181" spans="1:200" ht="20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</row>
    <row r="182" spans="1:200" ht="20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</row>
    <row r="183" spans="1:200" ht="20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</row>
    <row r="184" spans="1:200" ht="20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</row>
    <row r="185" spans="1:200" ht="20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</row>
    <row r="186" spans="1:200" ht="20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</row>
    <row r="187" spans="1:200" ht="20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</row>
    <row r="188" spans="1:200" ht="20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</row>
    <row r="189" spans="1:200" ht="20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</row>
    <row r="190" spans="1:200" ht="20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</row>
    <row r="191" spans="1:200" ht="20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</row>
    <row r="192" spans="1:200" ht="20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</row>
    <row r="193" spans="1:200" ht="20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</row>
    <row r="194" spans="1:200" ht="20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</row>
    <row r="195" spans="1:200" ht="20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</row>
    <row r="196" spans="1:200" ht="20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</row>
    <row r="197" spans="1:200" ht="20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</row>
    <row r="198" spans="1:200" ht="20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</row>
    <row r="199" spans="1:200" ht="20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</row>
    <row r="200" spans="1:200" ht="20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</row>
    <row r="201" spans="1:200" ht="20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</row>
    <row r="202" spans="1:200" ht="20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</row>
    <row r="203" spans="1:200" ht="20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</row>
    <row r="204" spans="1:200" ht="20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</row>
    <row r="205" spans="1:200" ht="20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</row>
    <row r="206" spans="1:200" ht="20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</row>
    <row r="207" spans="1:200" ht="20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</row>
    <row r="208" spans="1:200" ht="20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</row>
    <row r="209" spans="1:200" ht="20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</row>
    <row r="210" spans="1:200" ht="20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</row>
    <row r="211" spans="1:200" ht="20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</row>
    <row r="212" spans="1:200" ht="20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</row>
    <row r="213" spans="1:200" ht="20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</row>
    <row r="214" spans="1:200" ht="20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</row>
    <row r="215" spans="1:200" ht="20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</row>
    <row r="216" spans="1:200" ht="20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</row>
    <row r="217" spans="1:200" ht="20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</row>
    <row r="218" spans="1:200" ht="20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</row>
    <row r="219" spans="1:200" ht="20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</row>
    <row r="220" spans="1:200" ht="20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</row>
    <row r="221" spans="1:200" ht="20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</row>
    <row r="222" spans="1:200" ht="20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</row>
    <row r="223" spans="1:200" ht="20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</row>
    <row r="224" spans="1:200" ht="20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</row>
    <row r="225" spans="1:200" ht="20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</row>
    <row r="226" spans="1:200" ht="20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</row>
    <row r="227" spans="1:200" ht="20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</row>
    <row r="228" spans="1:200" ht="20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</row>
    <row r="229" spans="1:200" ht="20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</row>
    <row r="230" spans="1:200" ht="20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</row>
    <row r="231" spans="1:200" ht="20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</row>
    <row r="232" spans="1:200" ht="20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</row>
    <row r="233" spans="1:200" ht="20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</row>
    <row r="234" spans="1:200" ht="20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</row>
    <row r="235" spans="1:200" ht="20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</row>
    <row r="236" spans="1:200" ht="20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</row>
    <row r="237" spans="1:200" ht="20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</row>
    <row r="238" spans="1:200" ht="20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</row>
    <row r="239" spans="1:200" ht="20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</row>
    <row r="240" spans="1:200" ht="20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</row>
    <row r="241" spans="1:200" ht="20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</row>
    <row r="242" spans="1:200" ht="20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</row>
    <row r="243" spans="1:200" ht="20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</row>
    <row r="244" spans="1:200" ht="20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</row>
    <row r="245" spans="1:200" ht="20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</row>
    <row r="246" spans="1:200" ht="20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</row>
    <row r="247" spans="1:200" ht="20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</row>
    <row r="248" spans="1:200" ht="20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</row>
    <row r="249" spans="1:200" ht="20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</row>
    <row r="250" spans="1:200" ht="20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</row>
    <row r="251" spans="1:200" ht="20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</row>
    <row r="252" spans="1:200" ht="20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</row>
    <row r="253" spans="1:200" ht="20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</row>
    <row r="254" spans="1:200" ht="20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</row>
    <row r="255" spans="1:200" ht="20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</row>
    <row r="256" spans="1:200" ht="20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</row>
    <row r="257" spans="1:200" ht="20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</row>
    <row r="258" spans="1:200" ht="20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</row>
    <row r="259" spans="1:200" ht="20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</row>
    <row r="260" spans="1:200" ht="20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</row>
    <row r="261" spans="1:200" ht="20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</row>
    <row r="262" spans="1:200" ht="20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</row>
    <row r="263" spans="1:200" ht="20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</row>
    <row r="264" spans="1:200" ht="20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</row>
    <row r="265" spans="1:200" ht="20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</row>
    <row r="266" spans="1:200" ht="20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</row>
    <row r="267" spans="1:200" ht="20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</row>
    <row r="268" spans="1:200" ht="20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</row>
    <row r="269" spans="1:200" ht="20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</row>
    <row r="270" spans="1:200" ht="20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</row>
    <row r="271" spans="1:200" ht="20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</row>
    <row r="272" spans="1:200" ht="20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</row>
    <row r="273" spans="1:200" ht="20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</row>
    <row r="274" spans="1:200" ht="20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</row>
    <row r="275" spans="1:200" ht="20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</row>
    <row r="276" spans="1:200" ht="20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</row>
    <row r="277" spans="1:200" ht="20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</row>
    <row r="278" spans="1:200" ht="20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</row>
    <row r="279" spans="1:200" ht="20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</row>
    <row r="280" spans="1:200" ht="20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</row>
    <row r="281" spans="1:200" ht="20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</row>
    <row r="282" spans="1:200" ht="20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</row>
    <row r="283" spans="1:200" ht="20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</row>
    <row r="284" spans="1:200" ht="20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</row>
    <row r="285" spans="1:200" ht="20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</row>
    <row r="286" spans="1:200" ht="20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</row>
    <row r="287" spans="1:200" ht="20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</row>
    <row r="288" spans="1:200" ht="20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</row>
    <row r="289" spans="1:200" ht="20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</row>
    <row r="290" spans="1:200" ht="20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</row>
    <row r="291" spans="1:200" ht="20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</row>
    <row r="292" spans="1:200" ht="20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</row>
    <row r="293" spans="1:200" ht="20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</row>
    <row r="294" spans="1:200" ht="20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</row>
    <row r="295" spans="1:200" ht="20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</row>
    <row r="296" spans="1:200" ht="20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</row>
    <row r="297" spans="1:200" ht="20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</row>
    <row r="298" spans="1:200" ht="20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</row>
    <row r="299" spans="1:200" ht="20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</row>
    <row r="300" spans="1:200" ht="20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</row>
    <row r="301" spans="1:200" ht="20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</row>
    <row r="302" spans="1:200" ht="20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</row>
    <row r="303" spans="1:200" ht="20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</row>
    <row r="304" spans="1:200" ht="20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</row>
    <row r="305" spans="1:200" ht="20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</row>
    <row r="306" spans="1:200" ht="20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</row>
    <row r="307" spans="1:200" ht="20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</row>
    <row r="308" spans="1:200" ht="20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</row>
    <row r="309" spans="1:200" ht="20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</row>
    <row r="310" spans="1:200" ht="20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</row>
    <row r="311" spans="1:200" ht="20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</row>
    <row r="312" spans="1:200" ht="20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</row>
    <row r="313" spans="1:200" ht="20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</row>
    <row r="314" spans="1:200" ht="20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</row>
    <row r="315" spans="1:200" ht="20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</row>
    <row r="316" spans="1:200" ht="20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</row>
    <row r="317" spans="1:200" ht="20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</row>
    <row r="318" spans="1:200" ht="20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</row>
    <row r="319" spans="1:200" ht="20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</row>
    <row r="320" spans="1:200" ht="20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</row>
    <row r="321" spans="1:200" ht="20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</row>
    <row r="322" spans="1:200" ht="20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</row>
    <row r="323" spans="1:200" ht="20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</row>
    <row r="324" spans="1:200" ht="20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</row>
    <row r="325" spans="1:200" ht="20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</row>
    <row r="326" spans="1:200" ht="20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</row>
    <row r="327" spans="1:200" ht="20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</row>
    <row r="328" spans="1:200" ht="20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</row>
    <row r="329" spans="1:200" ht="20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</row>
    <row r="330" spans="1:200" ht="20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</row>
    <row r="331" spans="1:200" ht="20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</row>
    <row r="332" spans="1:200" ht="20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</row>
    <row r="333" spans="1:200" ht="20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</row>
    <row r="334" spans="1:200" ht="20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</row>
    <row r="335" spans="1:200" ht="20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</row>
    <row r="336" spans="1:200" ht="20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</row>
    <row r="337" spans="1:200" ht="20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</row>
    <row r="338" spans="1:200" ht="20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</row>
    <row r="339" spans="1:200" ht="20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</row>
    <row r="340" spans="1:200" ht="20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</row>
    <row r="341" spans="1:200" ht="20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</row>
    <row r="342" spans="1:200" ht="20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</row>
    <row r="343" spans="1:200" ht="20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</row>
    <row r="344" spans="1:200" ht="20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</row>
    <row r="345" spans="1:200" ht="20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</row>
    <row r="346" spans="1:200" ht="20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</row>
    <row r="347" spans="1:200" ht="20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</row>
    <row r="348" spans="1:200" ht="20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</row>
    <row r="349" spans="1:200" ht="20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</row>
    <row r="350" spans="1:200" ht="20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</row>
    <row r="351" spans="1:200" ht="20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</row>
    <row r="352" spans="1:200" ht="20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</row>
    <row r="353" spans="1:200" ht="20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</row>
    <row r="354" spans="1:200" ht="20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</row>
    <row r="355" spans="1:200" ht="20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</row>
    <row r="356" spans="1:200" ht="20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</row>
    <row r="357" spans="1:200" ht="20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</row>
    <row r="358" spans="1:200" ht="20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</row>
    <row r="359" spans="1:200" ht="20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</row>
    <row r="360" spans="1:200" ht="20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</row>
    <row r="361" spans="1:200" ht="20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</row>
    <row r="362" spans="1:200" ht="20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</row>
    <row r="363" spans="1:200" ht="20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</row>
    <row r="364" spans="1:200" ht="20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</row>
    <row r="365" spans="1:200" ht="20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</row>
    <row r="366" spans="1:200" ht="20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</row>
    <row r="367" spans="1:200" ht="20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</row>
    <row r="368" spans="1:200" ht="20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</row>
    <row r="369" spans="1:200" ht="20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</row>
    <row r="370" spans="1:200" ht="20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</row>
    <row r="371" spans="1:200" ht="20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</row>
    <row r="372" spans="1:200" ht="20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</row>
    <row r="373" spans="1:200" ht="20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</row>
    <row r="374" spans="1:200" ht="20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</row>
    <row r="375" spans="1:200" ht="20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</row>
    <row r="376" spans="1:200" ht="20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</row>
    <row r="377" spans="1:200" ht="20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</row>
    <row r="378" spans="1:200" ht="20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</row>
    <row r="379" spans="1:200" ht="20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</row>
    <row r="380" spans="1:200" ht="20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</row>
    <row r="381" spans="1:200" ht="20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</row>
    <row r="382" spans="1:200" ht="20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</row>
    <row r="383" spans="1:200" ht="20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</row>
    <row r="384" spans="1:200" ht="20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</row>
    <row r="385" spans="1:200" ht="20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</row>
    <row r="386" spans="1:200" ht="20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</row>
    <row r="387" spans="1:200" ht="20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</row>
    <row r="388" spans="1:200" ht="20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</row>
    <row r="389" spans="1:200" ht="20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</row>
    <row r="390" spans="1:200" ht="20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</row>
    <row r="391" spans="1:200" ht="20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</row>
    <row r="392" spans="1:200" ht="20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</row>
    <row r="393" spans="1:200" ht="20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</row>
    <row r="394" spans="1:200" ht="20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</row>
    <row r="395" spans="1:200" ht="20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</row>
    <row r="396" spans="1:200" ht="20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</row>
    <row r="397" spans="1:200" ht="20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</row>
    <row r="398" spans="1:200" ht="20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</row>
    <row r="399" spans="1:200" ht="20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</row>
    <row r="400" spans="1:200" ht="20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</row>
    <row r="401" spans="1:200" ht="20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</row>
    <row r="402" spans="1:200" ht="20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</row>
    <row r="403" spans="1:200" ht="20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</row>
    <row r="404" spans="1:200" ht="20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</row>
    <row r="405" spans="1:200" ht="20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</row>
    <row r="406" spans="1:200" ht="20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</row>
    <row r="407" spans="1:200" ht="20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</row>
    <row r="408" spans="1:200" ht="20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</row>
    <row r="409" spans="1:200" ht="20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</row>
    <row r="410" spans="1:200" ht="20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</row>
    <row r="411" spans="1:200" ht="20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</row>
    <row r="412" spans="1:200" ht="20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</row>
    <row r="413" spans="1:200" ht="20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</row>
    <row r="414" spans="1:200" ht="20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</row>
    <row r="415" spans="1:200" ht="20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</row>
    <row r="416" spans="1:200" ht="20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</row>
    <row r="417" spans="1:200" ht="20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</row>
    <row r="418" spans="1:200" ht="20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</row>
    <row r="419" spans="1:200" ht="20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</row>
    <row r="420" spans="1:200" ht="20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</row>
    <row r="421" spans="1:200" ht="20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</row>
    <row r="422" spans="1:200" ht="20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</row>
    <row r="423" spans="1:200" ht="20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</row>
    <row r="424" spans="1:200" ht="20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</row>
    <row r="425" spans="1:200" ht="20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</row>
    <row r="426" spans="1:200" ht="20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</row>
    <row r="427" spans="1:200" ht="20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</row>
    <row r="428" spans="1:200" ht="20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</row>
    <row r="429" spans="1:200" ht="20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</row>
    <row r="430" spans="1:200" ht="20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</row>
    <row r="431" spans="1:200" ht="20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</row>
    <row r="432" spans="1:200" ht="20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</row>
    <row r="433" spans="1:200" ht="20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</row>
    <row r="434" spans="1:200" ht="20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</row>
    <row r="435" spans="1:200" ht="20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</row>
    <row r="436" spans="1:200" ht="20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</row>
    <row r="437" spans="1:200" ht="20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</row>
    <row r="438" spans="1:200" ht="20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</row>
    <row r="439" spans="1:200" ht="20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</row>
    <row r="440" spans="1:200" ht="20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</row>
    <row r="441" spans="1:200" ht="20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</row>
    <row r="442" spans="1:200" ht="20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</row>
    <row r="443" spans="1:200" ht="20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</row>
    <row r="444" spans="1:200" ht="20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</row>
    <row r="445" spans="1:200" ht="20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</row>
    <row r="446" spans="1:200" ht="20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</row>
    <row r="447" spans="1:200" ht="20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</row>
    <row r="448" spans="1:200" ht="20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</row>
    <row r="449" spans="1:200" ht="20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</row>
    <row r="450" spans="1:200" ht="20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</row>
    <row r="451" spans="1:200" ht="20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</row>
    <row r="452" spans="1:200" ht="20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</row>
    <row r="453" spans="1:200" ht="20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</row>
    <row r="454" spans="1:200" ht="20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</row>
    <row r="455" spans="1:200" ht="20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</row>
    <row r="456" spans="1:200" ht="20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</row>
    <row r="457" spans="1:200" ht="20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</row>
    <row r="458" spans="1:200" ht="20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</row>
    <row r="459" spans="1:200" ht="20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</row>
    <row r="460" spans="1:200" ht="20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</row>
    <row r="461" spans="1:200" ht="20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</row>
    <row r="462" spans="1:200" ht="20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</row>
    <row r="463" spans="1:200" ht="20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</row>
    <row r="464" spans="1:200" ht="20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</row>
    <row r="465" spans="1:200" ht="20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</row>
    <row r="466" spans="1:200" ht="20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</row>
    <row r="467" spans="1:200" ht="20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</row>
    <row r="468" spans="1:200" ht="20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</row>
    <row r="469" spans="1:200" ht="20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</row>
    <row r="470" spans="1:200" ht="20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</row>
    <row r="471" spans="1:200" ht="20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</row>
    <row r="472" spans="1:200" ht="20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</row>
    <row r="473" spans="1:200" ht="20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</row>
    <row r="474" spans="1:200" ht="20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</row>
    <row r="475" spans="1:200" ht="20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</row>
    <row r="476" spans="1:200" ht="20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</row>
    <row r="477" spans="1:200" ht="20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</row>
    <row r="478" spans="1:200" ht="20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</row>
    <row r="479" spans="1:200" ht="20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</row>
    <row r="480" spans="1:200" ht="20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</row>
    <row r="481" spans="1:200" ht="20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</row>
    <row r="482" spans="1:200" ht="20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</row>
    <row r="483" spans="1:200" ht="20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</row>
    <row r="484" spans="1:200" ht="20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</row>
    <row r="485" spans="1:200" ht="20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</row>
    <row r="486" spans="1:200" ht="20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</row>
    <row r="487" spans="1:200" ht="20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</row>
    <row r="488" spans="1:200" ht="20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</row>
    <row r="489" spans="1:200" ht="20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</row>
    <row r="490" spans="1:200" ht="20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</row>
    <row r="491" spans="1:200" ht="20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</row>
    <row r="492" spans="1:200" ht="20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</row>
    <row r="493" spans="1:200" ht="20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</row>
    <row r="494" spans="1:200" ht="20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</row>
    <row r="495" spans="1:200" ht="20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</row>
    <row r="496" spans="1:200" ht="20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</row>
    <row r="497" spans="1:200" ht="20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</row>
    <row r="498" spans="1:200" ht="20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</row>
    <row r="499" spans="1:200" ht="20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</row>
    <row r="500" spans="1:200" ht="20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</row>
  </sheetData>
  <sheetProtection sheet="1" objects="1" scenarios="1"/>
  <dataValidations count="2">
    <dataValidation type="list" allowBlank="1" error="Choose: Liquid, Semi-Liquid, or Illiquid" sqref="H6:H55" xr:uid="{00000000-0002-0000-0400-000000000000}">
      <formula1>"Liquid,Semi-Liquid,Illiquid"</formula1>
      <formula2>0</formula2>
    </dataValidation>
    <dataValidation type="list" allowBlank="1" errorTitle="Invalid Liquidity" error="Please select: Liquid, Semi-Liquid, or Illiquid" sqref="H6:H55" xr:uid="{00000000-0002-0000-0400-000002000000}">
      <formula1>"Liquid,Semi-Liquid,Illiquid"</formula1>
    </dataValidation>
  </dataValidations>
  <pageMargins left="0.75" right="0.75" top="1" bottom="1" header="0.511811023622047" footer="0.511811023622047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0.79998168889431442"/>
  </sheetPr>
  <dimension ref="A1:GR500"/>
  <sheetViews>
    <sheetView topLeftCell="A108" workbookViewId="0">
      <selection activeCell="C127" sqref="C127"/>
    </sheetView>
  </sheetViews>
  <sheetFormatPr baseColWidth="10" defaultColWidth="8.83203125" defaultRowHeight="15" x14ac:dyDescent="0.2"/>
  <cols>
    <col min="1" max="1" width="2" customWidth="1"/>
    <col min="2" max="2" width="8" hidden="1" customWidth="1"/>
    <col min="3" max="3" width="14" customWidth="1"/>
    <col min="4" max="53" width="13" customWidth="1"/>
  </cols>
  <sheetData>
    <row r="1" spans="1:200" ht="30" customHeight="1" x14ac:dyDescent="0.2">
      <c r="A1" s="8"/>
      <c r="B1" s="9"/>
      <c r="C1" s="9"/>
      <c r="D1" s="16" t="s">
        <v>201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10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</row>
    <row r="2" spans="1:200" ht="15" customHeight="1" x14ac:dyDescent="0.2">
      <c r="A2" s="8"/>
      <c r="B2" s="9"/>
      <c r="C2" s="9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10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</row>
    <row r="3" spans="1:200" ht="15" customHeight="1" x14ac:dyDescent="0.2">
      <c r="A3" s="8"/>
      <c r="B3" s="9"/>
      <c r="C3" s="9"/>
      <c r="D3" s="27" t="s">
        <v>202</v>
      </c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10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</row>
    <row r="4" spans="1:200" ht="15" customHeight="1" x14ac:dyDescent="0.2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10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</row>
    <row r="5" spans="1:200" ht="50" customHeight="1" x14ac:dyDescent="0.2">
      <c r="A5" s="8"/>
      <c r="B5" s="12" t="s">
        <v>89</v>
      </c>
      <c r="C5" s="19"/>
      <c r="D5" s="26" t="str">
        <f>IFERROR(IF(Client_Portfolio!F6="","",Client_Portfolio!F6),"")</f>
        <v>Adage Capital Management</v>
      </c>
      <c r="E5" s="26" t="str">
        <f>IFERROR(IF(Client_Portfolio!F7="","",Client_Portfolio!F7),"")</f>
        <v>Wellington Management</v>
      </c>
      <c r="F5" s="26" t="str">
        <f>IFERROR(IF(Client_Portfolio!F8="","",Client_Portfolio!F8),"")</f>
        <v>AQR 130/30 Equity</v>
      </c>
      <c r="G5" s="26" t="str">
        <f>IFERROR(IF(Client_Portfolio!F9="","",Client_Portfolio!F9),"")</f>
        <v>Causeway International Value</v>
      </c>
      <c r="H5" s="26" t="str">
        <f>IFERROR(IF(Client_Portfolio!F10="","",Client_Portfolio!F10),"")</f>
        <v>Marathon Asset Management</v>
      </c>
      <c r="I5" s="26" t="str">
        <f>IFERROR(IF(Client_Portfolio!F11="","",Client_Portfolio!F11),"")</f>
        <v>Harding Loevner EM</v>
      </c>
      <c r="J5" s="26" t="str">
        <f>IFERROR(IF(Client_Portfolio!F12="","",Client_Portfolio!F12),"")</f>
        <v>KKR Americas Fund XIV</v>
      </c>
      <c r="K5" s="26" t="str">
        <f>IFERROR(IF(Client_Portfolio!F13="","",Client_Portfolio!F13),"")</f>
        <v>Thoma Bravo Fund XV</v>
      </c>
      <c r="L5" s="26" t="str">
        <f>IFERROR(IF(Client_Portfolio!F14="","",Client_Portfolio!F14),"")</f>
        <v>Summit Partners Growth IV</v>
      </c>
      <c r="M5" s="26" t="str">
        <f>IFERROR(IF(Client_Portfolio!F15="","",Client_Portfolio!F15),"")</f>
        <v>Sequoia Capital Fund XVII</v>
      </c>
      <c r="N5" s="26" t="str">
        <f>IFERROR(IF(Client_Portfolio!F16="","",Client_Portfolio!F16),"")</f>
        <v>Andreessen Horowitz Fund VII</v>
      </c>
      <c r="O5" s="26" t="str">
        <f>IFERROR(IF(Client_Portfolio!F17="","",Client_Portfolio!F17),"")</f>
        <v>Brookfield Infrastructure IV</v>
      </c>
      <c r="P5" s="26" t="str">
        <f>IFERROR(IF(Client_Portfolio!F18="","",Client_Portfolio!F18),"")</f>
        <v>Blackstone Real Estate IX</v>
      </c>
      <c r="Q5" s="26" t="str">
        <f>IFERROR(IF(Client_Portfolio!F19="","",Client_Portfolio!F19),"")</f>
        <v>Lone Pine Capital</v>
      </c>
      <c r="R5" s="26" t="str">
        <f>IFERROR(IF(Client_Portfolio!F20="","",Client_Portfolio!F20),"")</f>
        <v>Paulson Advantage</v>
      </c>
      <c r="S5" s="26" t="str">
        <f>IFERROR(IF(Client_Portfolio!F21="","",Client_Portfolio!F21),"")</f>
        <v>Bridgewater Pure Alpha</v>
      </c>
      <c r="T5" s="26" t="str">
        <f>IFERROR(IF(Client_Portfolio!F22="","",Client_Portfolio!F22),"")</f>
        <v>Citadel Wellington</v>
      </c>
      <c r="U5" s="26" t="str">
        <f>IFERROR(IF(Client_Portfolio!F23="","",Client_Portfolio!F23),"")</f>
        <v>PIMCO Total Return</v>
      </c>
      <c r="V5" s="26" t="str">
        <f>IFERROR(IF(Client_Portfolio!F24="","",Client_Portfolio!F24),"")</f>
        <v>Loomis Sayles Core Plus</v>
      </c>
      <c r="W5" s="26" t="str">
        <f>IFERROR(IF(Client_Portfolio!F25="","",Client_Portfolio!F25),"")</f>
        <v>Vanguard Federal MMF</v>
      </c>
      <c r="X5" s="26" t="str">
        <f>IFERROR(IF(Client_Portfolio!F26="","",Client_Portfolio!F26),"")</f>
        <v/>
      </c>
      <c r="Y5" s="26" t="str">
        <f>IFERROR(IF(Client_Portfolio!F27="","",Client_Portfolio!F27),"")</f>
        <v/>
      </c>
      <c r="Z5" s="26" t="str">
        <f>IFERROR(IF(Client_Portfolio!F28="","",Client_Portfolio!F28),"")</f>
        <v/>
      </c>
      <c r="AA5" s="26" t="str">
        <f>IFERROR(IF(Client_Portfolio!F29="","",Client_Portfolio!F29),"")</f>
        <v/>
      </c>
      <c r="AB5" s="26" t="str">
        <f>IFERROR(IF(Client_Portfolio!F30="","",Client_Portfolio!F30),"")</f>
        <v/>
      </c>
      <c r="AC5" s="26" t="str">
        <f>IFERROR(IF(Client_Portfolio!F31="","",Client_Portfolio!F31),"")</f>
        <v/>
      </c>
      <c r="AD5" s="26" t="str">
        <f>IFERROR(IF(Client_Portfolio!F32="","",Client_Portfolio!F32),"")</f>
        <v/>
      </c>
      <c r="AE5" s="26" t="str">
        <f>IFERROR(IF(Client_Portfolio!F33="","",Client_Portfolio!F33),"")</f>
        <v/>
      </c>
      <c r="AF5" s="26" t="str">
        <f>IFERROR(IF(Client_Portfolio!F34="","",Client_Portfolio!F34),"")</f>
        <v/>
      </c>
      <c r="AG5" s="26" t="str">
        <f>IFERROR(IF(Client_Portfolio!F35="","",Client_Portfolio!F35),"")</f>
        <v/>
      </c>
      <c r="AH5" s="26" t="str">
        <f>IFERROR(IF(Client_Portfolio!F36="","",Client_Portfolio!F36),"")</f>
        <v/>
      </c>
      <c r="AI5" s="26" t="str">
        <f>IFERROR(IF(Client_Portfolio!F37="","",Client_Portfolio!F37),"")</f>
        <v/>
      </c>
      <c r="AJ5" s="26" t="str">
        <f>IFERROR(IF(Client_Portfolio!F38="","",Client_Portfolio!F38),"")</f>
        <v/>
      </c>
      <c r="AK5" s="26" t="str">
        <f>IFERROR(IF(Client_Portfolio!F39="","",Client_Portfolio!F39),"")</f>
        <v/>
      </c>
      <c r="AL5" s="26" t="str">
        <f>IFERROR(IF(Client_Portfolio!F40="","",Client_Portfolio!F40),"")</f>
        <v/>
      </c>
      <c r="AM5" s="26" t="str">
        <f>IFERROR(IF(Client_Portfolio!F41="","",Client_Portfolio!F41),"")</f>
        <v/>
      </c>
      <c r="AN5" s="26" t="str">
        <f>IFERROR(IF(Client_Portfolio!F42="","",Client_Portfolio!F42),"")</f>
        <v/>
      </c>
      <c r="AO5" s="26" t="str">
        <f>IFERROR(IF(Client_Portfolio!F43="","",Client_Portfolio!F43),"")</f>
        <v/>
      </c>
      <c r="AP5" s="26" t="str">
        <f>IFERROR(IF(Client_Portfolio!F44="","",Client_Portfolio!F44),"")</f>
        <v/>
      </c>
      <c r="AQ5" s="26" t="str">
        <f>IFERROR(IF(Client_Portfolio!F45="","",Client_Portfolio!F45),"")</f>
        <v/>
      </c>
      <c r="AR5" s="26" t="str">
        <f>IFERROR(IF(Client_Portfolio!F46="","",Client_Portfolio!F46),"")</f>
        <v/>
      </c>
      <c r="AS5" s="26" t="str">
        <f>IFERROR(IF(Client_Portfolio!F47="","",Client_Portfolio!F47),"")</f>
        <v/>
      </c>
      <c r="AT5" s="26" t="str">
        <f>IFERROR(IF(Client_Portfolio!F48="","",Client_Portfolio!F48),"")</f>
        <v/>
      </c>
      <c r="AU5" s="26" t="str">
        <f>IFERROR(IF(Client_Portfolio!F49="","",Client_Portfolio!F49),"")</f>
        <v/>
      </c>
      <c r="AV5" s="26" t="str">
        <f>IFERROR(IF(Client_Portfolio!F50="","",Client_Portfolio!F50),"")</f>
        <v/>
      </c>
      <c r="AW5" s="26" t="str">
        <f>IFERROR(IF(Client_Portfolio!F51="","",Client_Portfolio!F51),"")</f>
        <v/>
      </c>
      <c r="AX5" s="26" t="str">
        <f>IFERROR(IF(Client_Portfolio!F52="","",Client_Portfolio!F52),"")</f>
        <v/>
      </c>
      <c r="AY5" s="26" t="str">
        <f>IFERROR(IF(Client_Portfolio!F53="","",Client_Portfolio!F53),"")</f>
        <v/>
      </c>
      <c r="AZ5" s="26" t="str">
        <f>IFERROR(IF(Client_Portfolio!F54="","",Client_Portfolio!F54),"")</f>
        <v/>
      </c>
      <c r="BA5" s="26" t="str">
        <f>IFERROR(IF(Client_Portfolio!F55="","",Client_Portfolio!F55),"")</f>
        <v/>
      </c>
      <c r="BB5" s="26"/>
      <c r="BC5" s="10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</row>
    <row r="6" spans="1:200" ht="15" customHeight="1" x14ac:dyDescent="0.2">
      <c r="A6" s="19"/>
      <c r="B6" s="19" t="s">
        <v>203</v>
      </c>
      <c r="C6" s="19"/>
      <c r="D6" s="19" t="str">
        <f>IFERROR(IF(Client_Portfolio!E6="","",Client_Portfolio!E6),"")</f>
        <v>US Equity</v>
      </c>
      <c r="E6" s="19" t="str">
        <f>IFERROR(IF(Client_Portfolio!E7="","",Client_Portfolio!E7),"")</f>
        <v>US Equity</v>
      </c>
      <c r="F6" s="19" t="str">
        <f>IFERROR(IF(Client_Portfolio!E8="","",Client_Portfolio!E8),"")</f>
        <v>US Equity</v>
      </c>
      <c r="G6" s="19" t="str">
        <f>IFERROR(IF(Client_Portfolio!E9="","",Client_Portfolio!E9),"")</f>
        <v>Developed ex-US Equity</v>
      </c>
      <c r="H6" s="19" t="str">
        <f>IFERROR(IF(Client_Portfolio!E10="","",Client_Portfolio!E10),"")</f>
        <v>Developed ex-US Equity</v>
      </c>
      <c r="I6" s="19" t="str">
        <f>IFERROR(IF(Client_Portfolio!E11="","",Client_Portfolio!E11),"")</f>
        <v>Emerging Markets Equity</v>
      </c>
      <c r="J6" s="19" t="str">
        <f>IFERROR(IF(Client_Portfolio!E12="","",Client_Portfolio!E12),"")</f>
        <v>Private Equity</v>
      </c>
      <c r="K6" s="19" t="str">
        <f>IFERROR(IF(Client_Portfolio!E13="","",Client_Portfolio!E13),"")</f>
        <v>Private Equity</v>
      </c>
      <c r="L6" s="19" t="str">
        <f>IFERROR(IF(Client_Portfolio!E14="","",Client_Portfolio!E14),"")</f>
        <v>Private Equity</v>
      </c>
      <c r="M6" s="19" t="str">
        <f>IFERROR(IF(Client_Portfolio!E15="","",Client_Portfolio!E15),"")</f>
        <v>Venture Capital</v>
      </c>
      <c r="N6" s="19" t="str">
        <f>IFERROR(IF(Client_Portfolio!E16="","",Client_Portfolio!E16),"")</f>
        <v>Venture Capital</v>
      </c>
      <c r="O6" s="19" t="str">
        <f>IFERROR(IF(Client_Portfolio!E17="","",Client_Portfolio!E17),"")</f>
        <v>Private Real Assets</v>
      </c>
      <c r="P6" s="19" t="str">
        <f>IFERROR(IF(Client_Portfolio!E18="","",Client_Portfolio!E18),"")</f>
        <v>Private Real Assets</v>
      </c>
      <c r="Q6" s="19" t="str">
        <f>IFERROR(IF(Client_Portfolio!E19="","",Client_Portfolio!E19),"")</f>
        <v>Opportunistic</v>
      </c>
      <c r="R6" s="19" t="str">
        <f>IFERROR(IF(Client_Portfolio!E20="","",Client_Portfolio!E20),"")</f>
        <v>Opportunistic</v>
      </c>
      <c r="S6" s="19" t="str">
        <f>IFERROR(IF(Client_Portfolio!E21="","",Client_Portfolio!E21),"")</f>
        <v>Diversifying</v>
      </c>
      <c r="T6" s="19" t="str">
        <f>IFERROR(IF(Client_Portfolio!E22="","",Client_Portfolio!E22),"")</f>
        <v>Diversifying</v>
      </c>
      <c r="U6" s="19" t="str">
        <f>IFERROR(IF(Client_Portfolio!E23="","",Client_Portfolio!E23),"")</f>
        <v>Core</v>
      </c>
      <c r="V6" s="19" t="str">
        <f>IFERROR(IF(Client_Portfolio!E24="","",Client_Portfolio!E24),"")</f>
        <v>Core Plus</v>
      </c>
      <c r="W6" s="19" t="str">
        <f>IFERROR(IF(Client_Portfolio!E25="","",Client_Portfolio!E25),"")</f>
        <v>Money Market</v>
      </c>
      <c r="X6" s="19" t="str">
        <f>IFERROR(IF(Client_Portfolio!E26="","",Client_Portfolio!E26),"")</f>
        <v/>
      </c>
      <c r="Y6" s="19" t="str">
        <f>IFERROR(IF(Client_Portfolio!E27="","",Client_Portfolio!E27),"")</f>
        <v/>
      </c>
      <c r="Z6" s="19" t="str">
        <f>IFERROR(IF(Client_Portfolio!E28="","",Client_Portfolio!E28),"")</f>
        <v/>
      </c>
      <c r="AA6" s="19" t="str">
        <f>IFERROR(IF(Client_Portfolio!E29="","",Client_Portfolio!E29),"")</f>
        <v/>
      </c>
      <c r="AB6" s="19" t="str">
        <f>IFERROR(IF(Client_Portfolio!E30="","",Client_Portfolio!E30),"")</f>
        <v/>
      </c>
      <c r="AC6" s="19" t="str">
        <f>IFERROR(IF(Client_Portfolio!E31="","",Client_Portfolio!E31),"")</f>
        <v/>
      </c>
      <c r="AD6" s="19" t="str">
        <f>IFERROR(IF(Client_Portfolio!E32="","",Client_Portfolio!E32),"")</f>
        <v/>
      </c>
      <c r="AE6" s="19" t="str">
        <f>IFERROR(IF(Client_Portfolio!E33="","",Client_Portfolio!E33),"")</f>
        <v/>
      </c>
      <c r="AF6" s="19" t="str">
        <f>IFERROR(IF(Client_Portfolio!E34="","",Client_Portfolio!E34),"")</f>
        <v/>
      </c>
      <c r="AG6" s="19" t="str">
        <f>IFERROR(IF(Client_Portfolio!E35="","",Client_Portfolio!E35),"")</f>
        <v/>
      </c>
      <c r="AH6" s="19" t="str">
        <f>IFERROR(IF(Client_Portfolio!E36="","",Client_Portfolio!E36),"")</f>
        <v/>
      </c>
      <c r="AI6" s="19" t="str">
        <f>IFERROR(IF(Client_Portfolio!E37="","",Client_Portfolio!E37),"")</f>
        <v/>
      </c>
      <c r="AJ6" s="19" t="str">
        <f>IFERROR(IF(Client_Portfolio!E38="","",Client_Portfolio!E38),"")</f>
        <v/>
      </c>
      <c r="AK6" s="19" t="str">
        <f>IFERROR(IF(Client_Portfolio!E39="","",Client_Portfolio!E39),"")</f>
        <v/>
      </c>
      <c r="AL6" s="19" t="str">
        <f>IFERROR(IF(Client_Portfolio!E40="","",Client_Portfolio!E40),"")</f>
        <v/>
      </c>
      <c r="AM6" s="19" t="str">
        <f>IFERROR(IF(Client_Portfolio!E41="","",Client_Portfolio!E41),"")</f>
        <v/>
      </c>
      <c r="AN6" s="19" t="str">
        <f>IFERROR(IF(Client_Portfolio!E42="","",Client_Portfolio!E42),"")</f>
        <v/>
      </c>
      <c r="AO6" s="19" t="str">
        <f>IFERROR(IF(Client_Portfolio!E43="","",Client_Portfolio!E43),"")</f>
        <v/>
      </c>
      <c r="AP6" s="19" t="str">
        <f>IFERROR(IF(Client_Portfolio!E44="","",Client_Portfolio!E44),"")</f>
        <v/>
      </c>
      <c r="AQ6" s="19" t="str">
        <f>IFERROR(IF(Client_Portfolio!E45="","",Client_Portfolio!E45),"")</f>
        <v/>
      </c>
      <c r="AR6" s="19" t="str">
        <f>IFERROR(IF(Client_Portfolio!E46="","",Client_Portfolio!E46),"")</f>
        <v/>
      </c>
      <c r="AS6" s="19" t="str">
        <f>IFERROR(IF(Client_Portfolio!E47="","",Client_Portfolio!E47),"")</f>
        <v/>
      </c>
      <c r="AT6" s="19" t="str">
        <f>IFERROR(IF(Client_Portfolio!E48="","",Client_Portfolio!E48),"")</f>
        <v/>
      </c>
      <c r="AU6" s="19" t="str">
        <f>IFERROR(IF(Client_Portfolio!E49="","",Client_Portfolio!E49),"")</f>
        <v/>
      </c>
      <c r="AV6" s="19" t="str">
        <f>IFERROR(IF(Client_Portfolio!E50="","",Client_Portfolio!E50),"")</f>
        <v/>
      </c>
      <c r="AW6" s="19" t="str">
        <f>IFERROR(IF(Client_Portfolio!E51="","",Client_Portfolio!E51),"")</f>
        <v/>
      </c>
      <c r="AX6" s="19" t="str">
        <f>IFERROR(IF(Client_Portfolio!E52="","",Client_Portfolio!E52),"")</f>
        <v/>
      </c>
      <c r="AY6" s="19" t="str">
        <f>IFERROR(IF(Client_Portfolio!E53="","",Client_Portfolio!E53),"")</f>
        <v/>
      </c>
      <c r="AZ6" s="19" t="str">
        <f>IFERROR(IF(Client_Portfolio!E54="","",Client_Portfolio!E54),"")</f>
        <v/>
      </c>
      <c r="BA6" s="19" t="str">
        <f>IFERROR(IF(Client_Portfolio!E55="","",Client_Portfolio!E55),"")</f>
        <v/>
      </c>
      <c r="BB6" s="19"/>
      <c r="BC6" s="10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</row>
    <row r="7" spans="1:200" ht="15" customHeight="1" x14ac:dyDescent="0.2">
      <c r="A7" s="21"/>
      <c r="B7" s="22" t="s">
        <v>204</v>
      </c>
      <c r="C7" s="22" t="s">
        <v>205</v>
      </c>
      <c r="D7" s="22" t="s">
        <v>206</v>
      </c>
      <c r="E7" s="22" t="s">
        <v>207</v>
      </c>
      <c r="F7" s="22" t="s">
        <v>208</v>
      </c>
      <c r="G7" s="22" t="s">
        <v>209</v>
      </c>
      <c r="H7" s="22" t="s">
        <v>210</v>
      </c>
      <c r="I7" s="22" t="s">
        <v>211</v>
      </c>
      <c r="J7" s="22" t="s">
        <v>212</v>
      </c>
      <c r="K7" s="22" t="s">
        <v>213</v>
      </c>
      <c r="L7" s="22" t="s">
        <v>214</v>
      </c>
      <c r="M7" s="22" t="s">
        <v>215</v>
      </c>
      <c r="N7" s="22" t="s">
        <v>216</v>
      </c>
      <c r="O7" s="22" t="s">
        <v>217</v>
      </c>
      <c r="P7" s="22" t="s">
        <v>218</v>
      </c>
      <c r="Q7" s="22" t="s">
        <v>219</v>
      </c>
      <c r="R7" s="22" t="s">
        <v>220</v>
      </c>
      <c r="S7" s="22" t="s">
        <v>221</v>
      </c>
      <c r="T7" s="22" t="s">
        <v>222</v>
      </c>
      <c r="U7" s="22" t="s">
        <v>223</v>
      </c>
      <c r="V7" s="22" t="s">
        <v>224</v>
      </c>
      <c r="W7" s="22" t="s">
        <v>225</v>
      </c>
      <c r="X7" s="22" t="s">
        <v>226</v>
      </c>
      <c r="Y7" s="22" t="s">
        <v>227</v>
      </c>
      <c r="Z7" s="22" t="s">
        <v>228</v>
      </c>
      <c r="AA7" s="22" t="s">
        <v>229</v>
      </c>
      <c r="AB7" s="22" t="s">
        <v>230</v>
      </c>
      <c r="AC7" s="22" t="s">
        <v>231</v>
      </c>
      <c r="AD7" s="22" t="s">
        <v>232</v>
      </c>
      <c r="AE7" s="22" t="s">
        <v>233</v>
      </c>
      <c r="AF7" s="22" t="s">
        <v>234</v>
      </c>
      <c r="AG7" s="22" t="s">
        <v>235</v>
      </c>
      <c r="AH7" s="22" t="s">
        <v>236</v>
      </c>
      <c r="AI7" s="22" t="s">
        <v>237</v>
      </c>
      <c r="AJ7" s="22" t="s">
        <v>238</v>
      </c>
      <c r="AK7" s="22" t="s">
        <v>239</v>
      </c>
      <c r="AL7" s="22" t="s">
        <v>240</v>
      </c>
      <c r="AM7" s="22" t="s">
        <v>241</v>
      </c>
      <c r="AN7" s="22" t="s">
        <v>242</v>
      </c>
      <c r="AO7" s="22" t="s">
        <v>243</v>
      </c>
      <c r="AP7" s="22" t="s">
        <v>244</v>
      </c>
      <c r="AQ7" s="22" t="s">
        <v>245</v>
      </c>
      <c r="AR7" s="22" t="s">
        <v>246</v>
      </c>
      <c r="AS7" s="22" t="s">
        <v>247</v>
      </c>
      <c r="AT7" s="22" t="s">
        <v>248</v>
      </c>
      <c r="AU7" s="22" t="s">
        <v>249</v>
      </c>
      <c r="AV7" s="22" t="s">
        <v>250</v>
      </c>
      <c r="AW7" s="22" t="s">
        <v>251</v>
      </c>
      <c r="AX7" s="22" t="s">
        <v>252</v>
      </c>
      <c r="AY7" s="22" t="s">
        <v>253</v>
      </c>
      <c r="AZ7" s="22" t="s">
        <v>254</v>
      </c>
      <c r="BA7" s="22" t="s">
        <v>255</v>
      </c>
      <c r="BB7" s="22"/>
      <c r="BC7" s="10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</row>
    <row r="8" spans="1:200" ht="15" customHeight="1" x14ac:dyDescent="0.2">
      <c r="A8" s="2"/>
      <c r="B8" s="24" t="str">
        <f t="shared" ref="B8:B39" si="0">IF(C8="","","[ROW:"&amp;UPPER(TEXT(C8,"MMM"))&amp;"_"&amp;TEXT(C8,"YYYY")&amp;"]")</f>
        <v>[ROW:JAN_2016]</v>
      </c>
      <c r="C8" s="29">
        <f>IF(OR(Client_Info!$D$14="",Client_Info!$D$15=""),"",IF(EOMONTH(Client_Info!$D$14,0)&lt;=Client_Info!$D$15,EOMONTH(Client_Info!$D$14,0),""))</f>
        <v>42400</v>
      </c>
      <c r="D8" s="141">
        <v>87628866</v>
      </c>
      <c r="E8" s="141">
        <v>70103093</v>
      </c>
      <c r="F8" s="141">
        <v>61340206</v>
      </c>
      <c r="G8" s="141">
        <v>52577320</v>
      </c>
      <c r="H8" s="141">
        <v>43814433</v>
      </c>
      <c r="I8" s="141">
        <v>43814433</v>
      </c>
      <c r="J8" s="141">
        <v>43814433</v>
      </c>
      <c r="K8" s="141">
        <v>35051546</v>
      </c>
      <c r="L8" s="141">
        <v>35051546</v>
      </c>
      <c r="M8" s="141">
        <v>30670103</v>
      </c>
      <c r="N8" s="141">
        <v>30670103</v>
      </c>
      <c r="O8" s="141">
        <v>26288660</v>
      </c>
      <c r="P8" s="141">
        <v>26288660</v>
      </c>
      <c r="Q8" s="141">
        <v>52577320</v>
      </c>
      <c r="R8" s="141">
        <v>43814433</v>
      </c>
      <c r="S8" s="141">
        <v>43814433</v>
      </c>
      <c r="T8" s="141">
        <v>35051546</v>
      </c>
      <c r="U8" s="141">
        <v>39432990</v>
      </c>
      <c r="V8" s="141">
        <v>30670103</v>
      </c>
      <c r="W8" s="141">
        <v>17525773</v>
      </c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120"/>
      <c r="BC8" s="25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</row>
    <row r="9" spans="1:200" ht="15" customHeight="1" x14ac:dyDescent="0.2">
      <c r="A9" s="2"/>
      <c r="B9" s="24" t="str">
        <f t="shared" si="0"/>
        <v>[ROW:FEB_2016]</v>
      </c>
      <c r="C9" s="29">
        <f>IF(OR(Client_Info!$D$14="",Client_Info!$D$15=""),"",IF(EOMONTH(Client_Info!$D$14,1)&lt;=Client_Info!$D$15,EOMONTH(Client_Info!$D$14,1),""))</f>
        <v>42429</v>
      </c>
      <c r="D9" s="141">
        <v>88065187</v>
      </c>
      <c r="E9" s="141">
        <v>70705646</v>
      </c>
      <c r="F9" s="141">
        <v>61300672</v>
      </c>
      <c r="G9" s="141">
        <v>52789874</v>
      </c>
      <c r="H9" s="141">
        <v>43512133</v>
      </c>
      <c r="I9" s="141">
        <v>47762653</v>
      </c>
      <c r="J9" s="141">
        <v>46408473</v>
      </c>
      <c r="K9" s="141">
        <v>35189476</v>
      </c>
      <c r="L9" s="141">
        <v>34715493</v>
      </c>
      <c r="M9" s="141">
        <v>26874162</v>
      </c>
      <c r="N9" s="141">
        <v>27684304</v>
      </c>
      <c r="O9" s="141">
        <v>26493890</v>
      </c>
      <c r="P9" s="141">
        <v>27751786</v>
      </c>
      <c r="Q9" s="141">
        <v>51010966</v>
      </c>
      <c r="R9" s="141">
        <v>42097905</v>
      </c>
      <c r="S9" s="141">
        <v>43986415</v>
      </c>
      <c r="T9" s="141">
        <v>36262578</v>
      </c>
      <c r="U9" s="141">
        <v>39399359</v>
      </c>
      <c r="V9" s="141">
        <v>31080625</v>
      </c>
      <c r="W9" s="141">
        <v>17526622</v>
      </c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120"/>
      <c r="BC9" s="25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</row>
    <row r="10" spans="1:200" ht="15" customHeight="1" x14ac:dyDescent="0.2">
      <c r="A10" s="2"/>
      <c r="B10" s="24" t="str">
        <f t="shared" si="0"/>
        <v>[ROW:MAR_2016]</v>
      </c>
      <c r="C10" s="29">
        <f>IF(OR(Client_Info!$D$14="",Client_Info!$D$15=""),"",IF(EOMONTH(Client_Info!$D$14,2)&lt;=Client_Info!$D$15,EOMONTH(Client_Info!$D$14,2),""))</f>
        <v>42460</v>
      </c>
      <c r="D10" s="141">
        <v>90842096</v>
      </c>
      <c r="E10" s="141">
        <v>73095301</v>
      </c>
      <c r="F10" s="141">
        <v>63245814</v>
      </c>
      <c r="G10" s="141">
        <v>54478893</v>
      </c>
      <c r="H10" s="141">
        <v>45124562</v>
      </c>
      <c r="I10" s="141">
        <v>47493972</v>
      </c>
      <c r="J10" s="141">
        <v>48684953</v>
      </c>
      <c r="K10" s="141">
        <v>36246460</v>
      </c>
      <c r="L10" s="141">
        <v>36796599</v>
      </c>
      <c r="M10" s="141">
        <v>25118219</v>
      </c>
      <c r="N10" s="141">
        <v>25825345</v>
      </c>
      <c r="O10" s="141">
        <v>26488359</v>
      </c>
      <c r="P10" s="141">
        <v>28161483</v>
      </c>
      <c r="Q10" s="141">
        <v>49429679</v>
      </c>
      <c r="R10" s="141">
        <v>42213106</v>
      </c>
      <c r="S10" s="141">
        <v>45184383</v>
      </c>
      <c r="T10" s="141">
        <v>36050605</v>
      </c>
      <c r="U10" s="141">
        <v>39253726</v>
      </c>
      <c r="V10" s="141">
        <v>30850617</v>
      </c>
      <c r="W10" s="141">
        <v>17539497</v>
      </c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120"/>
      <c r="BC10" s="25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</row>
    <row r="11" spans="1:200" ht="15" customHeight="1" x14ac:dyDescent="0.2">
      <c r="A11" s="2"/>
      <c r="B11" s="24" t="str">
        <f t="shared" si="0"/>
        <v>[ROW:APR_2016]</v>
      </c>
      <c r="C11" s="29">
        <f>IF(OR(Client_Info!$D$14="",Client_Info!$D$15=""),"",IF(EOMONTH(Client_Info!$D$14,3)&lt;=Client_Info!$D$15,EOMONTH(Client_Info!$D$14,3),""))</f>
        <v>42490</v>
      </c>
      <c r="D11" s="141">
        <v>96305061</v>
      </c>
      <c r="E11" s="141">
        <v>78551780</v>
      </c>
      <c r="F11" s="141">
        <v>68267417</v>
      </c>
      <c r="G11" s="141">
        <v>57420084</v>
      </c>
      <c r="H11" s="141">
        <v>46462915</v>
      </c>
      <c r="I11" s="141">
        <v>48675110</v>
      </c>
      <c r="J11" s="141">
        <v>51656070</v>
      </c>
      <c r="K11" s="141">
        <v>38299066</v>
      </c>
      <c r="L11" s="141">
        <v>38741746</v>
      </c>
      <c r="M11" s="141">
        <v>26183578</v>
      </c>
      <c r="N11" s="141">
        <v>28139114</v>
      </c>
      <c r="O11" s="141">
        <v>26683442</v>
      </c>
      <c r="P11" s="141">
        <v>29199466</v>
      </c>
      <c r="Q11" s="141">
        <v>51010608</v>
      </c>
      <c r="R11" s="141">
        <v>42817476</v>
      </c>
      <c r="S11" s="141">
        <v>45709121</v>
      </c>
      <c r="T11" s="141">
        <v>35178361</v>
      </c>
      <c r="U11" s="141">
        <v>39265720</v>
      </c>
      <c r="V11" s="141">
        <v>31187946</v>
      </c>
      <c r="W11" s="141">
        <v>17534203</v>
      </c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120"/>
      <c r="BC11" s="25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</row>
    <row r="12" spans="1:200" ht="15" customHeight="1" x14ac:dyDescent="0.2">
      <c r="A12" s="2"/>
      <c r="B12" s="24" t="str">
        <f t="shared" si="0"/>
        <v>[ROW:MAY_2016]</v>
      </c>
      <c r="C12" s="29">
        <f>IF(OR(Client_Info!$D$14="",Client_Info!$D$15=""),"",IF(EOMONTH(Client_Info!$D$14,4)&lt;=Client_Info!$D$15,EOMONTH(Client_Info!$D$14,4),""))</f>
        <v>42521</v>
      </c>
      <c r="D12" s="141">
        <v>94447015</v>
      </c>
      <c r="E12" s="141">
        <v>80155560</v>
      </c>
      <c r="F12" s="141">
        <v>67532877</v>
      </c>
      <c r="G12" s="141">
        <v>56017566</v>
      </c>
      <c r="H12" s="141">
        <v>44203970</v>
      </c>
      <c r="I12" s="141">
        <v>51981698</v>
      </c>
      <c r="J12" s="141">
        <v>55785871</v>
      </c>
      <c r="K12" s="141">
        <v>40131209</v>
      </c>
      <c r="L12" s="141">
        <v>41386428</v>
      </c>
      <c r="M12" s="141">
        <v>24877917</v>
      </c>
      <c r="N12" s="141">
        <v>29369569</v>
      </c>
      <c r="O12" s="141">
        <v>26880785</v>
      </c>
      <c r="P12" s="141">
        <v>29825147</v>
      </c>
      <c r="Q12" s="141">
        <v>51216682</v>
      </c>
      <c r="R12" s="141">
        <v>42478913</v>
      </c>
      <c r="S12" s="141">
        <v>46373970</v>
      </c>
      <c r="T12" s="141">
        <v>35371076</v>
      </c>
      <c r="U12" s="141">
        <v>39102840</v>
      </c>
      <c r="V12" s="141">
        <v>30739589</v>
      </c>
      <c r="W12" s="141">
        <v>17545223</v>
      </c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120"/>
      <c r="BC12" s="25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</row>
    <row r="13" spans="1:200" ht="15" customHeight="1" x14ac:dyDescent="0.2">
      <c r="A13" s="2"/>
      <c r="B13" s="24" t="str">
        <f t="shared" si="0"/>
        <v>[ROW:JUN_2016]</v>
      </c>
      <c r="C13" s="29">
        <f>IF(OR(Client_Info!$D$14="",Client_Info!$D$15=""),"",IF(EOMONTH(Client_Info!$D$14,5)&lt;=Client_Info!$D$15,EOMONTH(Client_Info!$D$14,5),""))</f>
        <v>42551</v>
      </c>
      <c r="D13" s="141">
        <v>92863725</v>
      </c>
      <c r="E13" s="141">
        <v>80099786</v>
      </c>
      <c r="F13" s="141">
        <v>68700673</v>
      </c>
      <c r="G13" s="141">
        <v>54930452</v>
      </c>
      <c r="H13" s="141">
        <v>44015357</v>
      </c>
      <c r="I13" s="141">
        <v>52315240</v>
      </c>
      <c r="J13" s="141">
        <v>59653838</v>
      </c>
      <c r="K13" s="141">
        <v>42106942</v>
      </c>
      <c r="L13" s="141">
        <v>44561559</v>
      </c>
      <c r="M13" s="141">
        <v>24798335</v>
      </c>
      <c r="N13" s="141">
        <v>28193747</v>
      </c>
      <c r="O13" s="141">
        <v>27453627</v>
      </c>
      <c r="P13" s="141">
        <v>30843997</v>
      </c>
      <c r="Q13" s="141">
        <v>53842194</v>
      </c>
      <c r="R13" s="141">
        <v>42440677</v>
      </c>
      <c r="S13" s="141">
        <v>44840726</v>
      </c>
      <c r="T13" s="141">
        <v>35504617</v>
      </c>
      <c r="U13" s="141">
        <v>39877095</v>
      </c>
      <c r="V13" s="141">
        <v>31310134</v>
      </c>
      <c r="W13" s="141">
        <v>17548473</v>
      </c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120"/>
      <c r="BC13" s="25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</row>
    <row r="14" spans="1:200" ht="15" customHeight="1" x14ac:dyDescent="0.2">
      <c r="A14" s="2"/>
      <c r="B14" s="24" t="str">
        <f t="shared" si="0"/>
        <v>[ROW:JUL_2016]</v>
      </c>
      <c r="C14" s="29">
        <f>IF(OR(Client_Info!$D$14="",Client_Info!$D$15=""),"",IF(EOMONTH(Client_Info!$D$14,6)&lt;=Client_Info!$D$15,EOMONTH(Client_Info!$D$14,6),""))</f>
        <v>42582</v>
      </c>
      <c r="D14" s="141">
        <v>100583775</v>
      </c>
      <c r="E14" s="141">
        <v>84451664</v>
      </c>
      <c r="F14" s="141">
        <v>74171644</v>
      </c>
      <c r="G14" s="141">
        <v>53682194</v>
      </c>
      <c r="H14" s="141">
        <v>43720618</v>
      </c>
      <c r="I14" s="141">
        <v>52357250</v>
      </c>
      <c r="J14" s="141">
        <v>60061274</v>
      </c>
      <c r="K14" s="141">
        <v>41845427</v>
      </c>
      <c r="L14" s="141">
        <v>44474272</v>
      </c>
      <c r="M14" s="141">
        <v>24883202</v>
      </c>
      <c r="N14" s="141">
        <v>29052262</v>
      </c>
      <c r="O14" s="141">
        <v>27134479</v>
      </c>
      <c r="P14" s="141">
        <v>31590395</v>
      </c>
      <c r="Q14" s="141">
        <v>55036676</v>
      </c>
      <c r="R14" s="141">
        <v>43109582</v>
      </c>
      <c r="S14" s="141">
        <v>44034500</v>
      </c>
      <c r="T14" s="141">
        <v>35662581</v>
      </c>
      <c r="U14" s="141">
        <v>39951211</v>
      </c>
      <c r="V14" s="141">
        <v>31284499</v>
      </c>
      <c r="W14" s="141">
        <v>17557215</v>
      </c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120"/>
      <c r="BC14" s="25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</row>
    <row r="15" spans="1:200" ht="15" customHeight="1" x14ac:dyDescent="0.2">
      <c r="A15" s="2"/>
      <c r="B15" s="24" t="str">
        <f t="shared" si="0"/>
        <v>[ROW:AUG_2016]</v>
      </c>
      <c r="C15" s="29">
        <f>IF(OR(Client_Info!$D$14="",Client_Info!$D$15=""),"",IF(EOMONTH(Client_Info!$D$14,7)&lt;=Client_Info!$D$15,EOMONTH(Client_Info!$D$14,7),""))</f>
        <v>42613</v>
      </c>
      <c r="D15" s="141">
        <v>105690595</v>
      </c>
      <c r="E15" s="141">
        <v>87820312</v>
      </c>
      <c r="F15" s="141">
        <v>77460909</v>
      </c>
      <c r="G15" s="141">
        <v>51798383</v>
      </c>
      <c r="H15" s="141">
        <v>42655492</v>
      </c>
      <c r="I15" s="141">
        <v>53433042</v>
      </c>
      <c r="J15" s="141">
        <v>57562958</v>
      </c>
      <c r="K15" s="141">
        <v>38798605</v>
      </c>
      <c r="L15" s="141">
        <v>42528463</v>
      </c>
      <c r="M15" s="141">
        <v>26439250</v>
      </c>
      <c r="N15" s="141">
        <v>28002199</v>
      </c>
      <c r="O15" s="141">
        <v>28509034</v>
      </c>
      <c r="P15" s="141">
        <v>32586596</v>
      </c>
      <c r="Q15" s="141">
        <v>55922399</v>
      </c>
      <c r="R15" s="141">
        <v>43279819</v>
      </c>
      <c r="S15" s="141">
        <v>44694898</v>
      </c>
      <c r="T15" s="141">
        <v>36457330</v>
      </c>
      <c r="U15" s="141">
        <v>40063802</v>
      </c>
      <c r="V15" s="141">
        <v>31101888</v>
      </c>
      <c r="W15" s="141">
        <v>17562009</v>
      </c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120"/>
      <c r="BC15" s="25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</row>
    <row r="16" spans="1:200" ht="15" customHeight="1" x14ac:dyDescent="0.2">
      <c r="A16" s="2"/>
      <c r="B16" s="24" t="str">
        <f t="shared" si="0"/>
        <v>[ROW:SEP_2016]</v>
      </c>
      <c r="C16" s="29">
        <f>IF(OR(Client_Info!$D$14="",Client_Info!$D$15=""),"",IF(EOMONTH(Client_Info!$D$14,8)&lt;=Client_Info!$D$15,EOMONTH(Client_Info!$D$14,8),""))</f>
        <v>42643</v>
      </c>
      <c r="D16" s="141">
        <v>102845385</v>
      </c>
      <c r="E16" s="141">
        <v>87849998</v>
      </c>
      <c r="F16" s="141">
        <v>76391051</v>
      </c>
      <c r="G16" s="141">
        <v>55656383</v>
      </c>
      <c r="H16" s="141">
        <v>45636953</v>
      </c>
      <c r="I16" s="141">
        <v>54753028</v>
      </c>
      <c r="J16" s="141">
        <v>57718856</v>
      </c>
      <c r="K16" s="141">
        <v>37514243</v>
      </c>
      <c r="L16" s="141">
        <v>40649511</v>
      </c>
      <c r="M16" s="141">
        <v>25875571</v>
      </c>
      <c r="N16" s="141">
        <v>28626657</v>
      </c>
      <c r="O16" s="141">
        <v>28524959</v>
      </c>
      <c r="P16" s="141">
        <v>32821929</v>
      </c>
      <c r="Q16" s="141">
        <v>56395179</v>
      </c>
      <c r="R16" s="141">
        <v>41903286</v>
      </c>
      <c r="S16" s="141">
        <v>43422852</v>
      </c>
      <c r="T16" s="141">
        <v>36827692</v>
      </c>
      <c r="U16" s="141">
        <v>40269003</v>
      </c>
      <c r="V16" s="141">
        <v>31651033</v>
      </c>
      <c r="W16" s="141">
        <v>17572177</v>
      </c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120"/>
      <c r="BC16" s="25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</row>
    <row r="17" spans="1:200" ht="15" customHeight="1" x14ac:dyDescent="0.2">
      <c r="A17" s="2"/>
      <c r="B17" s="24" t="str">
        <f t="shared" si="0"/>
        <v>[ROW:OCT_2016]</v>
      </c>
      <c r="C17" s="29">
        <f>IF(OR(Client_Info!$D$14="",Client_Info!$D$15=""),"",IF(EOMONTH(Client_Info!$D$14,9)&lt;=Client_Info!$D$15,EOMONTH(Client_Info!$D$14,9),""))</f>
        <v>42674</v>
      </c>
      <c r="D17" s="141">
        <v>107524358</v>
      </c>
      <c r="E17" s="141">
        <v>92222840</v>
      </c>
      <c r="F17" s="141">
        <v>79216261</v>
      </c>
      <c r="G17" s="141">
        <v>57191694</v>
      </c>
      <c r="H17" s="141">
        <v>47248922</v>
      </c>
      <c r="I17" s="141">
        <v>52079775</v>
      </c>
      <c r="J17" s="141">
        <v>58964042</v>
      </c>
      <c r="K17" s="141">
        <v>39531287</v>
      </c>
      <c r="L17" s="141">
        <v>42127425</v>
      </c>
      <c r="M17" s="141">
        <v>25690912</v>
      </c>
      <c r="N17" s="141">
        <v>27495543</v>
      </c>
      <c r="O17" s="141">
        <v>28416575</v>
      </c>
      <c r="P17" s="141">
        <v>32332488</v>
      </c>
      <c r="Q17" s="141">
        <v>56690442</v>
      </c>
      <c r="R17" s="141">
        <v>42451278</v>
      </c>
      <c r="S17" s="141">
        <v>43789691</v>
      </c>
      <c r="T17" s="141">
        <v>36328207</v>
      </c>
      <c r="U17" s="141">
        <v>39999390</v>
      </c>
      <c r="V17" s="141">
        <v>31879299</v>
      </c>
      <c r="W17" s="141">
        <v>17574605</v>
      </c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120"/>
      <c r="BC17" s="25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</row>
    <row r="18" spans="1:200" ht="15" customHeight="1" x14ac:dyDescent="0.2">
      <c r="A18" s="2"/>
      <c r="B18" s="24" t="str">
        <f t="shared" si="0"/>
        <v>[ROW:NOV_2016]</v>
      </c>
      <c r="C18" s="29">
        <f>IF(OR(Client_Info!$D$14="",Client_Info!$D$15=""),"",IF(EOMONTH(Client_Info!$D$14,10)&lt;=Client_Info!$D$15,EOMONTH(Client_Info!$D$14,10),""))</f>
        <v>42704</v>
      </c>
      <c r="D18" s="141">
        <v>106021402</v>
      </c>
      <c r="E18" s="141">
        <v>89960296</v>
      </c>
      <c r="F18" s="141">
        <v>79461253</v>
      </c>
      <c r="G18" s="141">
        <v>55262965</v>
      </c>
      <c r="H18" s="141">
        <v>45887893</v>
      </c>
      <c r="I18" s="141">
        <v>53173882</v>
      </c>
      <c r="J18" s="141">
        <v>62333002</v>
      </c>
      <c r="K18" s="141">
        <v>40931220</v>
      </c>
      <c r="L18" s="141">
        <v>43978466</v>
      </c>
      <c r="M18" s="141">
        <v>25820933</v>
      </c>
      <c r="N18" s="141">
        <v>27295914</v>
      </c>
      <c r="O18" s="141">
        <v>28384111</v>
      </c>
      <c r="P18" s="141">
        <v>32332702</v>
      </c>
      <c r="Q18" s="141">
        <v>56945837</v>
      </c>
      <c r="R18" s="141">
        <v>41583951</v>
      </c>
      <c r="S18" s="141">
        <v>44975110</v>
      </c>
      <c r="T18" s="141">
        <v>36954749</v>
      </c>
      <c r="U18" s="141">
        <v>40279494</v>
      </c>
      <c r="V18" s="141">
        <v>32109829</v>
      </c>
      <c r="W18" s="141">
        <v>17573425</v>
      </c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120"/>
      <c r="BC18" s="25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</row>
    <row r="19" spans="1:200" ht="15" customHeight="1" x14ac:dyDescent="0.2">
      <c r="A19" s="2"/>
      <c r="B19" s="24" t="str">
        <f t="shared" si="0"/>
        <v>[ROW:DEC_2016]</v>
      </c>
      <c r="C19" s="29">
        <f>IF(OR(Client_Info!$D$14="",Client_Info!$D$15=""),"",IF(EOMONTH(Client_Info!$D$14,11)&lt;=Client_Info!$D$15,EOMONTH(Client_Info!$D$14,11),""))</f>
        <v>42735</v>
      </c>
      <c r="D19" s="141">
        <v>105299926</v>
      </c>
      <c r="E19" s="141">
        <v>89526137</v>
      </c>
      <c r="F19" s="141">
        <v>77758189</v>
      </c>
      <c r="G19" s="141">
        <v>57586843</v>
      </c>
      <c r="H19" s="141">
        <v>48254254</v>
      </c>
      <c r="I19" s="141">
        <v>56151170</v>
      </c>
      <c r="J19" s="141">
        <v>62774054</v>
      </c>
      <c r="K19" s="141">
        <v>42758121</v>
      </c>
      <c r="L19" s="141">
        <v>44295176</v>
      </c>
      <c r="M19" s="141">
        <v>23877165</v>
      </c>
      <c r="N19" s="141">
        <v>28037062</v>
      </c>
      <c r="O19" s="141">
        <v>28390792</v>
      </c>
      <c r="P19" s="141">
        <v>32263537</v>
      </c>
      <c r="Q19" s="141">
        <v>56145025</v>
      </c>
      <c r="R19" s="141">
        <v>41199336</v>
      </c>
      <c r="S19" s="141">
        <v>46030256</v>
      </c>
      <c r="T19" s="141">
        <v>37647026</v>
      </c>
      <c r="U19" s="141">
        <v>40245412</v>
      </c>
      <c r="V19" s="141">
        <v>31817704</v>
      </c>
      <c r="W19" s="141">
        <v>17585024</v>
      </c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120"/>
      <c r="BC19" s="25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</row>
    <row r="20" spans="1:200" ht="15" customHeight="1" x14ac:dyDescent="0.2">
      <c r="A20" s="2"/>
      <c r="B20" s="24" t="str">
        <f t="shared" si="0"/>
        <v>[ROW:JAN_2017]</v>
      </c>
      <c r="C20" s="29">
        <f>IF(OR(Client_Info!$D$14="",Client_Info!$D$15=""),"",IF(EOMONTH(Client_Info!$D$14,12)&lt;=Client_Info!$D$15,EOMONTH(Client_Info!$D$14,12),""))</f>
        <v>42766</v>
      </c>
      <c r="D20" s="141">
        <v>109591979</v>
      </c>
      <c r="E20" s="141">
        <v>90787917</v>
      </c>
      <c r="F20" s="141">
        <v>78709030</v>
      </c>
      <c r="G20" s="141">
        <v>62649071</v>
      </c>
      <c r="H20" s="141">
        <v>52655586</v>
      </c>
      <c r="I20" s="141">
        <v>59919911</v>
      </c>
      <c r="J20" s="141">
        <v>63803175</v>
      </c>
      <c r="K20" s="141">
        <v>43345117</v>
      </c>
      <c r="L20" s="141">
        <v>44400016</v>
      </c>
      <c r="M20" s="141">
        <v>24343089</v>
      </c>
      <c r="N20" s="141">
        <v>26572083</v>
      </c>
      <c r="O20" s="141">
        <v>27815403</v>
      </c>
      <c r="P20" s="141">
        <v>32803741</v>
      </c>
      <c r="Q20" s="141">
        <v>58920536</v>
      </c>
      <c r="R20" s="141">
        <v>41222086</v>
      </c>
      <c r="S20" s="141">
        <v>46004229</v>
      </c>
      <c r="T20" s="141">
        <v>37328884</v>
      </c>
      <c r="U20" s="141">
        <v>40976792</v>
      </c>
      <c r="V20" s="141">
        <v>32289164</v>
      </c>
      <c r="W20" s="141">
        <v>17588844</v>
      </c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120"/>
      <c r="BC20" s="25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</row>
    <row r="21" spans="1:200" ht="15" customHeight="1" x14ac:dyDescent="0.2">
      <c r="A21" s="2"/>
      <c r="B21" s="24" t="str">
        <f t="shared" si="0"/>
        <v>[ROW:FEB_2017]</v>
      </c>
      <c r="C21" s="29">
        <f>IF(OR(Client_Info!$D$14="",Client_Info!$D$15=""),"",IF(EOMONTH(Client_Info!$D$14,13)&lt;=Client_Info!$D$15,EOMONTH(Client_Info!$D$14,13),""))</f>
        <v>42794</v>
      </c>
      <c r="D21" s="141">
        <v>102926048</v>
      </c>
      <c r="E21" s="141">
        <v>84295592</v>
      </c>
      <c r="F21" s="141">
        <v>72728610</v>
      </c>
      <c r="G21" s="141">
        <v>65738439</v>
      </c>
      <c r="H21" s="141">
        <v>54664055</v>
      </c>
      <c r="I21" s="141">
        <v>62587475</v>
      </c>
      <c r="J21" s="141">
        <v>63757132</v>
      </c>
      <c r="K21" s="141">
        <v>44630254</v>
      </c>
      <c r="L21" s="141">
        <v>43648049</v>
      </c>
      <c r="M21" s="141">
        <v>23745020</v>
      </c>
      <c r="N21" s="141">
        <v>24335142</v>
      </c>
      <c r="O21" s="141">
        <v>28874473</v>
      </c>
      <c r="P21" s="141">
        <v>33002258</v>
      </c>
      <c r="Q21" s="141">
        <v>61277429</v>
      </c>
      <c r="R21" s="141">
        <v>41783005</v>
      </c>
      <c r="S21" s="141">
        <v>47415208</v>
      </c>
      <c r="T21" s="141">
        <v>38730507</v>
      </c>
      <c r="U21" s="141">
        <v>40245923</v>
      </c>
      <c r="V21" s="141">
        <v>31892282</v>
      </c>
      <c r="W21" s="141">
        <v>17594367</v>
      </c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120"/>
      <c r="BC21" s="25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</row>
    <row r="22" spans="1:200" ht="15" customHeight="1" x14ac:dyDescent="0.2">
      <c r="A22" s="2"/>
      <c r="B22" s="24" t="str">
        <f t="shared" si="0"/>
        <v>[ROW:MAR_2017]</v>
      </c>
      <c r="C22" s="29">
        <f>IF(OR(Client_Info!$D$14="",Client_Info!$D$15=""),"",IF(EOMONTH(Client_Info!$D$14,14)&lt;=Client_Info!$D$15,EOMONTH(Client_Info!$D$14,14),""))</f>
        <v>42825</v>
      </c>
      <c r="D22" s="141">
        <v>96120043</v>
      </c>
      <c r="E22" s="141">
        <v>80610578</v>
      </c>
      <c r="F22" s="141">
        <v>66701800</v>
      </c>
      <c r="G22" s="141">
        <v>61451328</v>
      </c>
      <c r="H22" s="141">
        <v>51099315</v>
      </c>
      <c r="I22" s="141">
        <v>71004738</v>
      </c>
      <c r="J22" s="141">
        <v>67697570</v>
      </c>
      <c r="K22" s="141">
        <v>47268848</v>
      </c>
      <c r="L22" s="141">
        <v>46191625</v>
      </c>
      <c r="M22" s="141">
        <v>25029601</v>
      </c>
      <c r="N22" s="141">
        <v>24680946</v>
      </c>
      <c r="O22" s="141">
        <v>29566395</v>
      </c>
      <c r="P22" s="141">
        <v>32775511</v>
      </c>
      <c r="Q22" s="141">
        <v>60987899</v>
      </c>
      <c r="R22" s="141">
        <v>42121761</v>
      </c>
      <c r="S22" s="141">
        <v>48113614</v>
      </c>
      <c r="T22" s="141">
        <v>39491525</v>
      </c>
      <c r="U22" s="141">
        <v>40341572</v>
      </c>
      <c r="V22" s="141">
        <v>32092016</v>
      </c>
      <c r="W22" s="141">
        <v>17605036</v>
      </c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120"/>
      <c r="BC22" s="25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</row>
    <row r="23" spans="1:200" ht="15" customHeight="1" x14ac:dyDescent="0.2">
      <c r="A23" s="2"/>
      <c r="B23" s="24" t="str">
        <f t="shared" si="0"/>
        <v>[ROW:APR_2017]</v>
      </c>
      <c r="C23" s="29">
        <f>IF(OR(Client_Info!$D$14="",Client_Info!$D$15=""),"",IF(EOMONTH(Client_Info!$D$14,15)&lt;=Client_Info!$D$15,EOMONTH(Client_Info!$D$14,15),""))</f>
        <v>42855</v>
      </c>
      <c r="D23" s="141">
        <v>93912002</v>
      </c>
      <c r="E23" s="141">
        <v>78846759</v>
      </c>
      <c r="F23" s="141">
        <v>65039409</v>
      </c>
      <c r="G23" s="141">
        <v>62089878</v>
      </c>
      <c r="H23" s="141">
        <v>50603270</v>
      </c>
      <c r="I23" s="141">
        <v>69013965</v>
      </c>
      <c r="J23" s="141">
        <v>70593863</v>
      </c>
      <c r="K23" s="141">
        <v>50096058</v>
      </c>
      <c r="L23" s="141">
        <v>48099526</v>
      </c>
      <c r="M23" s="141">
        <v>29122103</v>
      </c>
      <c r="N23" s="141">
        <v>26683465</v>
      </c>
      <c r="O23" s="141">
        <v>29732211</v>
      </c>
      <c r="P23" s="141">
        <v>31866662</v>
      </c>
      <c r="Q23" s="141">
        <v>60249898</v>
      </c>
      <c r="R23" s="141">
        <v>44454313</v>
      </c>
      <c r="S23" s="141">
        <v>48508183</v>
      </c>
      <c r="T23" s="141">
        <v>38893679</v>
      </c>
      <c r="U23" s="141">
        <v>41319197</v>
      </c>
      <c r="V23" s="141">
        <v>32934268</v>
      </c>
      <c r="W23" s="141">
        <v>17604193</v>
      </c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120"/>
      <c r="BC23" s="25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</row>
    <row r="24" spans="1:200" ht="15" customHeight="1" x14ac:dyDescent="0.2">
      <c r="A24" s="2"/>
      <c r="B24" s="24" t="str">
        <f t="shared" si="0"/>
        <v>[ROW:MAY_2017]</v>
      </c>
      <c r="C24" s="29">
        <f>IF(OR(Client_Info!$D$14="",Client_Info!$D$15=""),"",IF(EOMONTH(Client_Info!$D$14,16)&lt;=Client_Info!$D$15,EOMONTH(Client_Info!$D$14,16),""))</f>
        <v>42886</v>
      </c>
      <c r="D24" s="141">
        <v>88555522</v>
      </c>
      <c r="E24" s="141">
        <v>76230951</v>
      </c>
      <c r="F24" s="141">
        <v>62471619</v>
      </c>
      <c r="G24" s="141">
        <v>64478555</v>
      </c>
      <c r="H24" s="141">
        <v>53640088</v>
      </c>
      <c r="I24" s="141">
        <v>73237872</v>
      </c>
      <c r="J24" s="141">
        <v>73674070</v>
      </c>
      <c r="K24" s="141">
        <v>50624760</v>
      </c>
      <c r="L24" s="141">
        <v>49096202</v>
      </c>
      <c r="M24" s="141">
        <v>28653554</v>
      </c>
      <c r="N24" s="141">
        <v>26321700</v>
      </c>
      <c r="O24" s="141">
        <v>29983736</v>
      </c>
      <c r="P24" s="141">
        <v>30625250</v>
      </c>
      <c r="Q24" s="141">
        <v>60519188</v>
      </c>
      <c r="R24" s="141">
        <v>44718321</v>
      </c>
      <c r="S24" s="141">
        <v>47748863</v>
      </c>
      <c r="T24" s="141">
        <v>39320878</v>
      </c>
      <c r="U24" s="141">
        <v>40695493</v>
      </c>
      <c r="V24" s="141">
        <v>32740678</v>
      </c>
      <c r="W24" s="141">
        <v>17611620</v>
      </c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120"/>
      <c r="BC24" s="25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</row>
    <row r="25" spans="1:200" ht="15" customHeight="1" x14ac:dyDescent="0.2">
      <c r="A25" s="2"/>
      <c r="B25" s="24" t="str">
        <f t="shared" si="0"/>
        <v>[ROW:JUN_2017]</v>
      </c>
      <c r="C25" s="29">
        <f>IF(OR(Client_Info!$D$14="",Client_Info!$D$15=""),"",IF(EOMONTH(Client_Info!$D$14,17)&lt;=Client_Info!$D$15,EOMONTH(Client_Info!$D$14,17),""))</f>
        <v>42916</v>
      </c>
      <c r="D25" s="141">
        <v>90058301</v>
      </c>
      <c r="E25" s="141">
        <v>78329192</v>
      </c>
      <c r="F25" s="141">
        <v>64812932</v>
      </c>
      <c r="G25" s="141">
        <v>63148131</v>
      </c>
      <c r="H25" s="141">
        <v>53111435</v>
      </c>
      <c r="I25" s="141">
        <v>74875425</v>
      </c>
      <c r="J25" s="141">
        <v>77837593</v>
      </c>
      <c r="K25" s="141">
        <v>53309775</v>
      </c>
      <c r="L25" s="141">
        <v>50809232</v>
      </c>
      <c r="M25" s="141">
        <v>32306107</v>
      </c>
      <c r="N25" s="141">
        <v>25652510</v>
      </c>
      <c r="O25" s="141">
        <v>30005786</v>
      </c>
      <c r="P25" s="141">
        <v>28817258</v>
      </c>
      <c r="Q25" s="141">
        <v>57169284</v>
      </c>
      <c r="R25" s="141">
        <v>45164233</v>
      </c>
      <c r="S25" s="141">
        <v>47602580</v>
      </c>
      <c r="T25" s="141">
        <v>39685426</v>
      </c>
      <c r="U25" s="141">
        <v>40582957</v>
      </c>
      <c r="V25" s="141">
        <v>32848071</v>
      </c>
      <c r="W25" s="141">
        <v>17613024</v>
      </c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120"/>
      <c r="BC25" s="25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</row>
    <row r="26" spans="1:200" ht="15" customHeight="1" x14ac:dyDescent="0.2">
      <c r="A26" s="2"/>
      <c r="B26" s="24" t="str">
        <f t="shared" si="0"/>
        <v>[ROW:JUL_2017]</v>
      </c>
      <c r="C26" s="29">
        <f>IF(OR(Client_Info!$D$14="",Client_Info!$D$15=""),"",IF(EOMONTH(Client_Info!$D$14,18)&lt;=Client_Info!$D$15,EOMONTH(Client_Info!$D$14,18),""))</f>
        <v>42947</v>
      </c>
      <c r="D26" s="141">
        <v>87348460</v>
      </c>
      <c r="E26" s="141">
        <v>77025675</v>
      </c>
      <c r="F26" s="141">
        <v>63239348</v>
      </c>
      <c r="G26" s="141">
        <v>66124724</v>
      </c>
      <c r="H26" s="141">
        <v>54656552</v>
      </c>
      <c r="I26" s="141">
        <v>84410165</v>
      </c>
      <c r="J26" s="141">
        <v>79129767</v>
      </c>
      <c r="K26" s="141">
        <v>55455013</v>
      </c>
      <c r="L26" s="141">
        <v>52643239</v>
      </c>
      <c r="M26" s="141">
        <v>35419273</v>
      </c>
      <c r="N26" s="141">
        <v>27808191</v>
      </c>
      <c r="O26" s="141">
        <v>30191042</v>
      </c>
      <c r="P26" s="141">
        <v>28286686</v>
      </c>
      <c r="Q26" s="141">
        <v>59308860</v>
      </c>
      <c r="R26" s="141">
        <v>44654832</v>
      </c>
      <c r="S26" s="141">
        <v>48210771</v>
      </c>
      <c r="T26" s="141">
        <v>40397122</v>
      </c>
      <c r="U26" s="141">
        <v>40798012</v>
      </c>
      <c r="V26" s="141">
        <v>33241067</v>
      </c>
      <c r="W26" s="141">
        <v>17616756</v>
      </c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120"/>
      <c r="BC26" s="25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</row>
    <row r="27" spans="1:200" ht="15" customHeight="1" x14ac:dyDescent="0.2">
      <c r="A27" s="2"/>
      <c r="B27" s="24" t="str">
        <f t="shared" si="0"/>
        <v>[ROW:AUG_2017]</v>
      </c>
      <c r="C27" s="29">
        <f>IF(OR(Client_Info!$D$14="",Client_Info!$D$15=""),"",IF(EOMONTH(Client_Info!$D$14,19)&lt;=Client_Info!$D$15,EOMONTH(Client_Info!$D$14,19),""))</f>
        <v>42978</v>
      </c>
      <c r="D27" s="141">
        <v>82030088</v>
      </c>
      <c r="E27" s="141">
        <v>72930586</v>
      </c>
      <c r="F27" s="141">
        <v>60260123</v>
      </c>
      <c r="G27" s="141">
        <v>68585774</v>
      </c>
      <c r="H27" s="141">
        <v>55788119</v>
      </c>
      <c r="I27" s="141">
        <v>79917035</v>
      </c>
      <c r="J27" s="141">
        <v>80454179</v>
      </c>
      <c r="K27" s="141">
        <v>56750140</v>
      </c>
      <c r="L27" s="141">
        <v>53940400</v>
      </c>
      <c r="M27" s="141">
        <v>37564003</v>
      </c>
      <c r="N27" s="141">
        <v>29653849</v>
      </c>
      <c r="O27" s="141">
        <v>30532241</v>
      </c>
      <c r="P27" s="141">
        <v>28529096</v>
      </c>
      <c r="Q27" s="141">
        <v>59480130</v>
      </c>
      <c r="R27" s="141">
        <v>46344583</v>
      </c>
      <c r="S27" s="141">
        <v>49048364</v>
      </c>
      <c r="T27" s="141">
        <v>40492007</v>
      </c>
      <c r="U27" s="141">
        <v>40950089</v>
      </c>
      <c r="V27" s="141">
        <v>33199962</v>
      </c>
      <c r="W27" s="141">
        <v>17621527</v>
      </c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120"/>
      <c r="BC27" s="25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</row>
    <row r="28" spans="1:200" ht="15" customHeight="1" x14ac:dyDescent="0.2">
      <c r="A28" s="2"/>
      <c r="B28" s="24" t="str">
        <f t="shared" si="0"/>
        <v>[ROW:SEP_2017]</v>
      </c>
      <c r="C28" s="29">
        <f>IF(OR(Client_Info!$D$14="",Client_Info!$D$15=""),"",IF(EOMONTH(Client_Info!$D$14,20)&lt;=Client_Info!$D$15,EOMONTH(Client_Info!$D$14,20),""))</f>
        <v>43008</v>
      </c>
      <c r="D28" s="141">
        <v>88068773</v>
      </c>
      <c r="E28" s="141">
        <v>78593498</v>
      </c>
      <c r="F28" s="141">
        <v>65502519</v>
      </c>
      <c r="G28" s="141">
        <v>66266032</v>
      </c>
      <c r="H28" s="141">
        <v>54546854</v>
      </c>
      <c r="I28" s="141">
        <v>78270758</v>
      </c>
      <c r="J28" s="141">
        <v>79453930</v>
      </c>
      <c r="K28" s="141">
        <v>55755471</v>
      </c>
      <c r="L28" s="141">
        <v>54840990</v>
      </c>
      <c r="M28" s="141">
        <v>35347884</v>
      </c>
      <c r="N28" s="141">
        <v>29028043</v>
      </c>
      <c r="O28" s="141">
        <v>31118587</v>
      </c>
      <c r="P28" s="141">
        <v>28928084</v>
      </c>
      <c r="Q28" s="141">
        <v>63527629</v>
      </c>
      <c r="R28" s="141">
        <v>46451389</v>
      </c>
      <c r="S28" s="141">
        <v>48609313</v>
      </c>
      <c r="T28" s="141">
        <v>40429728</v>
      </c>
      <c r="U28" s="141">
        <v>41138121</v>
      </c>
      <c r="V28" s="141">
        <v>33686856</v>
      </c>
      <c r="W28" s="141">
        <v>17618301</v>
      </c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120"/>
      <c r="BC28" s="25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</row>
    <row r="29" spans="1:200" ht="15" customHeight="1" x14ac:dyDescent="0.2">
      <c r="A29" s="2"/>
      <c r="B29" s="24" t="str">
        <f t="shared" si="0"/>
        <v>[ROW:OCT_2017]</v>
      </c>
      <c r="C29" s="29">
        <f>IF(OR(Client_Info!$D$14="",Client_Info!$D$15=""),"",IF(EOMONTH(Client_Info!$D$14,21)&lt;=Client_Info!$D$15,EOMONTH(Client_Info!$D$14,21),""))</f>
        <v>43039</v>
      </c>
      <c r="D29" s="141">
        <v>88313400</v>
      </c>
      <c r="E29" s="141">
        <v>78718193</v>
      </c>
      <c r="F29" s="141">
        <v>65469166</v>
      </c>
      <c r="G29" s="141">
        <v>66219661</v>
      </c>
      <c r="H29" s="141">
        <v>54115586</v>
      </c>
      <c r="I29" s="141">
        <v>77773965</v>
      </c>
      <c r="J29" s="141">
        <v>80871027</v>
      </c>
      <c r="K29" s="141">
        <v>57221701</v>
      </c>
      <c r="L29" s="141">
        <v>56248762</v>
      </c>
      <c r="M29" s="141">
        <v>32644116</v>
      </c>
      <c r="N29" s="141">
        <v>26552300</v>
      </c>
      <c r="O29" s="141">
        <v>30029994</v>
      </c>
      <c r="P29" s="141">
        <v>29455254</v>
      </c>
      <c r="Q29" s="141">
        <v>61064965</v>
      </c>
      <c r="R29" s="141">
        <v>46551032</v>
      </c>
      <c r="S29" s="141">
        <v>49031526</v>
      </c>
      <c r="T29" s="141">
        <v>40293376</v>
      </c>
      <c r="U29" s="141">
        <v>41332733</v>
      </c>
      <c r="V29" s="141">
        <v>34288865</v>
      </c>
      <c r="W29" s="141">
        <v>17618745</v>
      </c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120"/>
      <c r="BC29" s="25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</row>
    <row r="30" spans="1:200" ht="15" customHeight="1" x14ac:dyDescent="0.2">
      <c r="A30" s="2"/>
      <c r="B30" s="24" t="str">
        <f t="shared" si="0"/>
        <v>[ROW:NOV_2017]</v>
      </c>
      <c r="C30" s="29">
        <f>IF(OR(Client_Info!$D$14="",Client_Info!$D$15=""),"",IF(EOMONTH(Client_Info!$D$14,22)&lt;=Client_Info!$D$15,EOMONTH(Client_Info!$D$14,22),""))</f>
        <v>43069</v>
      </c>
      <c r="D30" s="141">
        <v>89372658</v>
      </c>
      <c r="E30" s="141">
        <v>79605004</v>
      </c>
      <c r="F30" s="141">
        <v>66766105</v>
      </c>
      <c r="G30" s="141">
        <v>57793612</v>
      </c>
      <c r="H30" s="141">
        <v>47064843</v>
      </c>
      <c r="I30" s="141">
        <v>69548967</v>
      </c>
      <c r="J30" s="141">
        <v>87644726</v>
      </c>
      <c r="K30" s="141">
        <v>62699060</v>
      </c>
      <c r="L30" s="141">
        <v>59757077</v>
      </c>
      <c r="M30" s="141">
        <v>31327039</v>
      </c>
      <c r="N30" s="141">
        <v>25406592</v>
      </c>
      <c r="O30" s="141">
        <v>30744953</v>
      </c>
      <c r="P30" s="141">
        <v>29300465</v>
      </c>
      <c r="Q30" s="141">
        <v>64692886</v>
      </c>
      <c r="R30" s="141">
        <v>47363971</v>
      </c>
      <c r="S30" s="141">
        <v>48445472</v>
      </c>
      <c r="T30" s="141">
        <v>40560208</v>
      </c>
      <c r="U30" s="141">
        <v>41737737</v>
      </c>
      <c r="V30" s="141">
        <v>35258470</v>
      </c>
      <c r="W30" s="141">
        <v>17630021</v>
      </c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120"/>
      <c r="BC30" s="25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</row>
    <row r="31" spans="1:200" ht="15" customHeight="1" x14ac:dyDescent="0.2">
      <c r="A31" s="2"/>
      <c r="B31" s="24" t="str">
        <f t="shared" si="0"/>
        <v>[ROW:DEC_2017]</v>
      </c>
      <c r="C31" s="29">
        <f>IF(OR(Client_Info!$D$14="",Client_Info!$D$15=""),"",IF(EOMONTH(Client_Info!$D$14,23)&lt;=Client_Info!$D$15,EOMONTH(Client_Info!$D$14,23),""))</f>
        <v>43100</v>
      </c>
      <c r="D31" s="141">
        <v>84230842</v>
      </c>
      <c r="E31" s="141">
        <v>75363785</v>
      </c>
      <c r="F31" s="141">
        <v>63298722</v>
      </c>
      <c r="G31" s="141">
        <v>56654239</v>
      </c>
      <c r="H31" s="141">
        <v>45451042</v>
      </c>
      <c r="I31" s="141">
        <v>68155908</v>
      </c>
      <c r="J31" s="141">
        <v>95305780</v>
      </c>
      <c r="K31" s="141">
        <v>67630248</v>
      </c>
      <c r="L31" s="141">
        <v>63991655</v>
      </c>
      <c r="M31" s="141">
        <v>32109543</v>
      </c>
      <c r="N31" s="141">
        <v>26688068</v>
      </c>
      <c r="O31" s="141">
        <v>31386279</v>
      </c>
      <c r="P31" s="141">
        <v>29699984</v>
      </c>
      <c r="Q31" s="141">
        <v>66120285</v>
      </c>
      <c r="R31" s="141">
        <v>48014730</v>
      </c>
      <c r="S31" s="141">
        <v>49526329</v>
      </c>
      <c r="T31" s="141">
        <v>40474402</v>
      </c>
      <c r="U31" s="141">
        <v>42337930</v>
      </c>
      <c r="V31" s="141">
        <v>35578518</v>
      </c>
      <c r="W31" s="141">
        <v>17638939</v>
      </c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120"/>
      <c r="BC31" s="25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</row>
    <row r="32" spans="1:200" ht="15" customHeight="1" x14ac:dyDescent="0.2">
      <c r="A32" s="2"/>
      <c r="B32" s="24" t="str">
        <f t="shared" si="0"/>
        <v>[ROW:JAN_2018]</v>
      </c>
      <c r="C32" s="29">
        <f>IF(OR(Client_Info!$D$14="",Client_Info!$D$15=""),"",IF(EOMONTH(Client_Info!$D$14,24)&lt;=Client_Info!$D$15,EOMONTH(Client_Info!$D$14,24),""))</f>
        <v>43131</v>
      </c>
      <c r="D32" s="141">
        <v>83392042</v>
      </c>
      <c r="E32" s="141">
        <v>74868154</v>
      </c>
      <c r="F32" s="141">
        <v>62761171</v>
      </c>
      <c r="G32" s="141">
        <v>54959458</v>
      </c>
      <c r="H32" s="141">
        <v>46111873</v>
      </c>
      <c r="I32" s="141">
        <v>64500798</v>
      </c>
      <c r="J32" s="141">
        <v>105754264</v>
      </c>
      <c r="K32" s="141">
        <v>72625982</v>
      </c>
      <c r="L32" s="141">
        <v>67634113</v>
      </c>
      <c r="M32" s="141">
        <v>31559666</v>
      </c>
      <c r="N32" s="141">
        <v>25537873</v>
      </c>
      <c r="O32" s="141">
        <v>31543173</v>
      </c>
      <c r="P32" s="141">
        <v>29657634</v>
      </c>
      <c r="Q32" s="141">
        <v>69574881</v>
      </c>
      <c r="R32" s="141">
        <v>47792970</v>
      </c>
      <c r="S32" s="141">
        <v>51517411</v>
      </c>
      <c r="T32" s="141">
        <v>40107236</v>
      </c>
      <c r="U32" s="141">
        <v>42575953</v>
      </c>
      <c r="V32" s="141">
        <v>35894614</v>
      </c>
      <c r="W32" s="141">
        <v>17653319</v>
      </c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120"/>
      <c r="BC32" s="25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</row>
    <row r="33" spans="1:200" ht="15" customHeight="1" x14ac:dyDescent="0.2">
      <c r="A33" s="2"/>
      <c r="B33" s="24" t="str">
        <f t="shared" si="0"/>
        <v>[ROW:FEB_2018]</v>
      </c>
      <c r="C33" s="29">
        <f>IF(OR(Client_Info!$D$14="",Client_Info!$D$15=""),"",IF(EOMONTH(Client_Info!$D$14,25)&lt;=Client_Info!$D$15,EOMONTH(Client_Info!$D$14,25),""))</f>
        <v>43159</v>
      </c>
      <c r="D33" s="141">
        <v>85191046</v>
      </c>
      <c r="E33" s="141">
        <v>75974778</v>
      </c>
      <c r="F33" s="141">
        <v>63240773</v>
      </c>
      <c r="G33" s="141">
        <v>53481672</v>
      </c>
      <c r="H33" s="141">
        <v>45446767</v>
      </c>
      <c r="I33" s="141">
        <v>65994248</v>
      </c>
      <c r="J33" s="141">
        <v>107233050</v>
      </c>
      <c r="K33" s="141">
        <v>71633515</v>
      </c>
      <c r="L33" s="141">
        <v>67535330</v>
      </c>
      <c r="M33" s="141">
        <v>32152784</v>
      </c>
      <c r="N33" s="141">
        <v>24993084</v>
      </c>
      <c r="O33" s="141">
        <v>31796595</v>
      </c>
      <c r="P33" s="141">
        <v>30213349</v>
      </c>
      <c r="Q33" s="141">
        <v>67746213</v>
      </c>
      <c r="R33" s="141">
        <v>47017526</v>
      </c>
      <c r="S33" s="141">
        <v>50085502</v>
      </c>
      <c r="T33" s="141">
        <v>40567445</v>
      </c>
      <c r="U33" s="141">
        <v>42429486</v>
      </c>
      <c r="V33" s="141">
        <v>35461840</v>
      </c>
      <c r="W33" s="141">
        <v>17670606</v>
      </c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120"/>
      <c r="BC33" s="25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</row>
    <row r="34" spans="1:200" ht="15" customHeight="1" x14ac:dyDescent="0.2">
      <c r="A34" s="2"/>
      <c r="B34" s="24" t="str">
        <f t="shared" si="0"/>
        <v>[ROW:MAR_2018]</v>
      </c>
      <c r="C34" s="29">
        <f>IF(OR(Client_Info!$D$14="",Client_Info!$D$15=""),"",IF(EOMONTH(Client_Info!$D$14,26)&lt;=Client_Info!$D$15,EOMONTH(Client_Info!$D$14,26),""))</f>
        <v>43190</v>
      </c>
      <c r="D34" s="141">
        <v>80866436</v>
      </c>
      <c r="E34" s="141">
        <v>72977481</v>
      </c>
      <c r="F34" s="141">
        <v>58574187</v>
      </c>
      <c r="G34" s="141">
        <v>56442632</v>
      </c>
      <c r="H34" s="141">
        <v>48931923</v>
      </c>
      <c r="I34" s="141">
        <v>68233550</v>
      </c>
      <c r="J34" s="141">
        <v>102335108</v>
      </c>
      <c r="K34" s="141">
        <v>70917970</v>
      </c>
      <c r="L34" s="141">
        <v>64954975</v>
      </c>
      <c r="M34" s="141">
        <v>31899509</v>
      </c>
      <c r="N34" s="141">
        <v>25136388</v>
      </c>
      <c r="O34" s="141">
        <v>31866969</v>
      </c>
      <c r="P34" s="141">
        <v>30792540</v>
      </c>
      <c r="Q34" s="141">
        <v>68255265</v>
      </c>
      <c r="R34" s="141">
        <v>47546657</v>
      </c>
      <c r="S34" s="141">
        <v>47986255</v>
      </c>
      <c r="T34" s="141">
        <v>40838373</v>
      </c>
      <c r="U34" s="141">
        <v>42923781</v>
      </c>
      <c r="V34" s="141">
        <v>35948015</v>
      </c>
      <c r="W34" s="141">
        <v>17686508</v>
      </c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120"/>
      <c r="BC34" s="25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</row>
    <row r="35" spans="1:200" ht="15" customHeight="1" x14ac:dyDescent="0.2">
      <c r="A35" s="2"/>
      <c r="B35" s="24" t="str">
        <f t="shared" si="0"/>
        <v>[ROW:APR_2018]</v>
      </c>
      <c r="C35" s="29">
        <f>IF(OR(Client_Info!$D$14="",Client_Info!$D$15=""),"",IF(EOMONTH(Client_Info!$D$14,27)&lt;=Client_Info!$D$15,EOMONTH(Client_Info!$D$14,27),""))</f>
        <v>43220</v>
      </c>
      <c r="D35" s="141">
        <v>84442909</v>
      </c>
      <c r="E35" s="141">
        <v>74647697</v>
      </c>
      <c r="F35" s="141">
        <v>60072518</v>
      </c>
      <c r="G35" s="141">
        <v>53335793</v>
      </c>
      <c r="H35" s="141">
        <v>46237433</v>
      </c>
      <c r="I35" s="141">
        <v>75364482</v>
      </c>
      <c r="J35" s="141">
        <v>101183076</v>
      </c>
      <c r="K35" s="141">
        <v>69522172</v>
      </c>
      <c r="L35" s="141">
        <v>63103786</v>
      </c>
      <c r="M35" s="141">
        <v>30273656</v>
      </c>
      <c r="N35" s="141">
        <v>24940719</v>
      </c>
      <c r="O35" s="141">
        <v>31953706</v>
      </c>
      <c r="P35" s="141">
        <v>31336327</v>
      </c>
      <c r="Q35" s="141">
        <v>67199076</v>
      </c>
      <c r="R35" s="141">
        <v>47661086</v>
      </c>
      <c r="S35" s="141">
        <v>49276670</v>
      </c>
      <c r="T35" s="141">
        <v>41342846</v>
      </c>
      <c r="U35" s="141">
        <v>44280100</v>
      </c>
      <c r="V35" s="141">
        <v>36721721</v>
      </c>
      <c r="W35" s="141">
        <v>17712193</v>
      </c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120"/>
      <c r="BC35" s="25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</row>
    <row r="36" spans="1:200" ht="15" customHeight="1" x14ac:dyDescent="0.2">
      <c r="A36" s="2"/>
      <c r="B36" s="24" t="str">
        <f t="shared" si="0"/>
        <v>[ROW:MAY_2018]</v>
      </c>
      <c r="C36" s="29">
        <f>IF(OR(Client_Info!$D$14="",Client_Info!$D$15=""),"",IF(EOMONTH(Client_Info!$D$14,28)&lt;=Client_Info!$D$15,EOMONTH(Client_Info!$D$14,28),""))</f>
        <v>43251</v>
      </c>
      <c r="D36" s="141">
        <v>83135720</v>
      </c>
      <c r="E36" s="141">
        <v>74359753</v>
      </c>
      <c r="F36" s="141">
        <v>60419567</v>
      </c>
      <c r="G36" s="141">
        <v>52434027</v>
      </c>
      <c r="H36" s="141">
        <v>45876762</v>
      </c>
      <c r="I36" s="141">
        <v>80906091</v>
      </c>
      <c r="J36" s="141">
        <v>105666477</v>
      </c>
      <c r="K36" s="141">
        <v>71898023</v>
      </c>
      <c r="L36" s="141">
        <v>64149329</v>
      </c>
      <c r="M36" s="141">
        <v>28822911</v>
      </c>
      <c r="N36" s="141">
        <v>23504371</v>
      </c>
      <c r="O36" s="141">
        <v>32382195</v>
      </c>
      <c r="P36" s="141">
        <v>32073982</v>
      </c>
      <c r="Q36" s="141">
        <v>67737921</v>
      </c>
      <c r="R36" s="141">
        <v>49078935</v>
      </c>
      <c r="S36" s="141">
        <v>47652481</v>
      </c>
      <c r="T36" s="141">
        <v>41541929</v>
      </c>
      <c r="U36" s="141">
        <v>44349806</v>
      </c>
      <c r="V36" s="141">
        <v>37174261</v>
      </c>
      <c r="W36" s="141">
        <v>17731296</v>
      </c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120"/>
      <c r="BC36" s="25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</row>
    <row r="37" spans="1:200" ht="15" customHeight="1" x14ac:dyDescent="0.2">
      <c r="A37" s="2"/>
      <c r="B37" s="24" t="str">
        <f t="shared" si="0"/>
        <v>[ROW:JUN_2018]</v>
      </c>
      <c r="C37" s="29">
        <f>IF(OR(Client_Info!$D$14="",Client_Info!$D$15=""),"",IF(EOMONTH(Client_Info!$D$14,29)&lt;=Client_Info!$D$15,EOMONTH(Client_Info!$D$14,29),""))</f>
        <v>43281</v>
      </c>
      <c r="D37" s="141">
        <v>83073669</v>
      </c>
      <c r="E37" s="141">
        <v>74259255</v>
      </c>
      <c r="F37" s="141">
        <v>61143881</v>
      </c>
      <c r="G37" s="141">
        <v>53373287</v>
      </c>
      <c r="H37" s="141">
        <v>46740883</v>
      </c>
      <c r="I37" s="141">
        <v>78731164</v>
      </c>
      <c r="J37" s="141">
        <v>112004873</v>
      </c>
      <c r="K37" s="141">
        <v>74229358</v>
      </c>
      <c r="L37" s="141">
        <v>65858578</v>
      </c>
      <c r="M37" s="141">
        <v>28218470</v>
      </c>
      <c r="N37" s="141">
        <v>22068993</v>
      </c>
      <c r="O37" s="141">
        <v>33027950</v>
      </c>
      <c r="P37" s="141">
        <v>32711592</v>
      </c>
      <c r="Q37" s="141">
        <v>71403305</v>
      </c>
      <c r="R37" s="141">
        <v>50866333</v>
      </c>
      <c r="S37" s="141">
        <v>47368124</v>
      </c>
      <c r="T37" s="141">
        <v>41484496</v>
      </c>
      <c r="U37" s="141">
        <v>44152912</v>
      </c>
      <c r="V37" s="141">
        <v>36691920</v>
      </c>
      <c r="W37" s="141">
        <v>17753975</v>
      </c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120"/>
      <c r="BC37" s="25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</row>
    <row r="38" spans="1:200" ht="15" customHeight="1" x14ac:dyDescent="0.2">
      <c r="A38" s="2"/>
      <c r="B38" s="24" t="str">
        <f t="shared" si="0"/>
        <v>[ROW:JUL_2018]</v>
      </c>
      <c r="C38" s="29">
        <f>IF(OR(Client_Info!$D$14="",Client_Info!$D$15=""),"",IF(EOMONTH(Client_Info!$D$14,30)&lt;=Client_Info!$D$15,EOMONTH(Client_Info!$D$14,30),""))</f>
        <v>43312</v>
      </c>
      <c r="D38" s="141">
        <v>82557762</v>
      </c>
      <c r="E38" s="141">
        <v>72044491</v>
      </c>
      <c r="F38" s="141">
        <v>61090664</v>
      </c>
      <c r="G38" s="141">
        <v>55808611</v>
      </c>
      <c r="H38" s="141">
        <v>49526256</v>
      </c>
      <c r="I38" s="141">
        <v>76320657</v>
      </c>
      <c r="J38" s="141">
        <v>108731141</v>
      </c>
      <c r="K38" s="141">
        <v>73321374</v>
      </c>
      <c r="L38" s="141">
        <v>66479765</v>
      </c>
      <c r="M38" s="141">
        <v>26247803</v>
      </c>
      <c r="N38" s="141">
        <v>18856179</v>
      </c>
      <c r="O38" s="141">
        <v>33515525</v>
      </c>
      <c r="P38" s="141">
        <v>32497207</v>
      </c>
      <c r="Q38" s="141">
        <v>69674060</v>
      </c>
      <c r="R38" s="141">
        <v>51568204</v>
      </c>
      <c r="S38" s="141">
        <v>47111451</v>
      </c>
      <c r="T38" s="141">
        <v>42106482</v>
      </c>
      <c r="U38" s="141">
        <v>44561928</v>
      </c>
      <c r="V38" s="141">
        <v>36904035</v>
      </c>
      <c r="W38" s="141">
        <v>17782714</v>
      </c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120"/>
      <c r="BC38" s="25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</row>
    <row r="39" spans="1:200" ht="15" customHeight="1" x14ac:dyDescent="0.2">
      <c r="A39" s="2"/>
      <c r="B39" s="24" t="str">
        <f t="shared" si="0"/>
        <v>[ROW:AUG_2018]</v>
      </c>
      <c r="C39" s="29">
        <f>IF(OR(Client_Info!$D$14="",Client_Info!$D$15=""),"",IF(EOMONTH(Client_Info!$D$14,31)&lt;=Client_Info!$D$15,EOMONTH(Client_Info!$D$14,31),""))</f>
        <v>43343</v>
      </c>
      <c r="D39" s="141">
        <v>90364887</v>
      </c>
      <c r="E39" s="141">
        <v>79465595</v>
      </c>
      <c r="F39" s="141">
        <v>67767752</v>
      </c>
      <c r="G39" s="141">
        <v>53193440</v>
      </c>
      <c r="H39" s="141">
        <v>47777573</v>
      </c>
      <c r="I39" s="141">
        <v>77752428</v>
      </c>
      <c r="J39" s="141">
        <v>108809911</v>
      </c>
      <c r="K39" s="141">
        <v>76347336</v>
      </c>
      <c r="L39" s="141">
        <v>67888363</v>
      </c>
      <c r="M39" s="141">
        <v>24949928</v>
      </c>
      <c r="N39" s="141">
        <v>17204433</v>
      </c>
      <c r="O39" s="141">
        <v>33301098</v>
      </c>
      <c r="P39" s="141">
        <v>31586732</v>
      </c>
      <c r="Q39" s="141">
        <v>69577636</v>
      </c>
      <c r="R39" s="141">
        <v>49992925</v>
      </c>
      <c r="S39" s="141">
        <v>45756992</v>
      </c>
      <c r="T39" s="141">
        <v>42193179</v>
      </c>
      <c r="U39" s="141">
        <v>44641831</v>
      </c>
      <c r="V39" s="141">
        <v>36853813</v>
      </c>
      <c r="W39" s="141">
        <v>17802972</v>
      </c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120"/>
      <c r="BC39" s="25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</row>
    <row r="40" spans="1:200" ht="15" customHeight="1" x14ac:dyDescent="0.2">
      <c r="A40" s="2"/>
      <c r="B40" s="24" t="str">
        <f t="shared" ref="B40:B71" si="1">IF(C40="","","[ROW:"&amp;UPPER(TEXT(C40,"MMM"))&amp;"_"&amp;TEXT(C40,"YYYY")&amp;"]")</f>
        <v>[ROW:SEP_2018]</v>
      </c>
      <c r="C40" s="29">
        <f>IF(OR(Client_Info!$D$14="",Client_Info!$D$15=""),"",IF(EOMONTH(Client_Info!$D$14,32)&lt;=Client_Info!$D$15,EOMONTH(Client_Info!$D$14,32),""))</f>
        <v>43373</v>
      </c>
      <c r="D40" s="141">
        <v>92360875</v>
      </c>
      <c r="E40" s="141">
        <v>79494595</v>
      </c>
      <c r="F40" s="141">
        <v>68577253</v>
      </c>
      <c r="G40" s="141">
        <v>57247671</v>
      </c>
      <c r="H40" s="141">
        <v>50353577</v>
      </c>
      <c r="I40" s="141">
        <v>73007617</v>
      </c>
      <c r="J40" s="141">
        <v>114765046</v>
      </c>
      <c r="K40" s="141">
        <v>78306877</v>
      </c>
      <c r="L40" s="141">
        <v>68780739</v>
      </c>
      <c r="M40" s="141">
        <v>23796269</v>
      </c>
      <c r="N40" s="141">
        <v>16956206</v>
      </c>
      <c r="O40" s="141">
        <v>31888776</v>
      </c>
      <c r="P40" s="141">
        <v>31419264</v>
      </c>
      <c r="Q40" s="141">
        <v>71408370</v>
      </c>
      <c r="R40" s="141">
        <v>51443490</v>
      </c>
      <c r="S40" s="141">
        <v>46199641</v>
      </c>
      <c r="T40" s="141">
        <v>42849386</v>
      </c>
      <c r="U40" s="141">
        <v>43421343</v>
      </c>
      <c r="V40" s="141">
        <v>35610243</v>
      </c>
      <c r="W40" s="141">
        <v>17836609</v>
      </c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120"/>
      <c r="BC40" s="25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</row>
    <row r="41" spans="1:200" ht="15" customHeight="1" x14ac:dyDescent="0.2">
      <c r="A41" s="2"/>
      <c r="B41" s="24" t="str">
        <f t="shared" si="1"/>
        <v>[ROW:OCT_2018]</v>
      </c>
      <c r="C41" s="29">
        <f>IF(OR(Client_Info!$D$14="",Client_Info!$D$15=""),"",IF(EOMONTH(Client_Info!$D$14,33)&lt;=Client_Info!$D$15,EOMONTH(Client_Info!$D$14,33),""))</f>
        <v>43404</v>
      </c>
      <c r="D41" s="141">
        <v>86355764</v>
      </c>
      <c r="E41" s="141">
        <v>73601526</v>
      </c>
      <c r="F41" s="141">
        <v>64057875</v>
      </c>
      <c r="G41" s="141">
        <v>56704180</v>
      </c>
      <c r="H41" s="141">
        <v>50858417</v>
      </c>
      <c r="I41" s="141">
        <v>80349662</v>
      </c>
      <c r="J41" s="141">
        <v>114083883</v>
      </c>
      <c r="K41" s="141">
        <v>76672003</v>
      </c>
      <c r="L41" s="141">
        <v>66563044</v>
      </c>
      <c r="M41" s="141">
        <v>25067170</v>
      </c>
      <c r="N41" s="141">
        <v>16829045</v>
      </c>
      <c r="O41" s="141">
        <v>31707495</v>
      </c>
      <c r="P41" s="141">
        <v>30851032</v>
      </c>
      <c r="Q41" s="141">
        <v>72667779</v>
      </c>
      <c r="R41" s="141">
        <v>52744509</v>
      </c>
      <c r="S41" s="141">
        <v>47314620</v>
      </c>
      <c r="T41" s="141">
        <v>42958132</v>
      </c>
      <c r="U41" s="141">
        <v>43677091</v>
      </c>
      <c r="V41" s="141">
        <v>36211047</v>
      </c>
      <c r="W41" s="141">
        <v>17855754</v>
      </c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120"/>
      <c r="BC41" s="25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</row>
    <row r="42" spans="1:200" ht="15" customHeight="1" x14ac:dyDescent="0.2">
      <c r="A42" s="2"/>
      <c r="B42" s="24" t="str">
        <f t="shared" si="1"/>
        <v>[ROW:NOV_2018]</v>
      </c>
      <c r="C42" s="29">
        <f>IF(OR(Client_Info!$D$14="",Client_Info!$D$15=""),"",IF(EOMONTH(Client_Info!$D$14,34)&lt;=Client_Info!$D$15,EOMONTH(Client_Info!$D$14,34),""))</f>
        <v>43434</v>
      </c>
      <c r="D42" s="141">
        <v>84161883</v>
      </c>
      <c r="E42" s="141">
        <v>71875863</v>
      </c>
      <c r="F42" s="141">
        <v>62285711</v>
      </c>
      <c r="G42" s="141">
        <v>54909871</v>
      </c>
      <c r="H42" s="141">
        <v>49416296</v>
      </c>
      <c r="I42" s="141">
        <v>86171333</v>
      </c>
      <c r="J42" s="141">
        <v>107809962</v>
      </c>
      <c r="K42" s="141">
        <v>72460521</v>
      </c>
      <c r="L42" s="141">
        <v>63805784</v>
      </c>
      <c r="M42" s="141">
        <v>26226879</v>
      </c>
      <c r="N42" s="141">
        <v>17224838</v>
      </c>
      <c r="O42" s="141">
        <v>31539722</v>
      </c>
      <c r="P42" s="141">
        <v>30163600</v>
      </c>
      <c r="Q42" s="141">
        <v>75947945</v>
      </c>
      <c r="R42" s="141">
        <v>52648970</v>
      </c>
      <c r="S42" s="141">
        <v>47368072</v>
      </c>
      <c r="T42" s="141">
        <v>42579744</v>
      </c>
      <c r="U42" s="141">
        <v>43376461</v>
      </c>
      <c r="V42" s="141">
        <v>35655055</v>
      </c>
      <c r="W42" s="141">
        <v>17892561</v>
      </c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120"/>
      <c r="BC42" s="25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</row>
    <row r="43" spans="1:200" ht="15" customHeight="1" x14ac:dyDescent="0.2">
      <c r="A43" s="2"/>
      <c r="B43" s="24" t="str">
        <f t="shared" si="1"/>
        <v>[ROW:DEC_2018]</v>
      </c>
      <c r="C43" s="29">
        <f>IF(OR(Client_Info!$D$14="",Client_Info!$D$15=""),"",IF(EOMONTH(Client_Info!$D$14,35)&lt;=Client_Info!$D$15,EOMONTH(Client_Info!$D$14,35),""))</f>
        <v>43465</v>
      </c>
      <c r="D43" s="141">
        <v>77078899</v>
      </c>
      <c r="E43" s="141">
        <v>66168435</v>
      </c>
      <c r="F43" s="141">
        <v>56473700</v>
      </c>
      <c r="G43" s="141">
        <v>55835932</v>
      </c>
      <c r="H43" s="141">
        <v>50776162</v>
      </c>
      <c r="I43" s="141">
        <v>84293136</v>
      </c>
      <c r="J43" s="141">
        <v>105054549</v>
      </c>
      <c r="K43" s="141">
        <v>67854725</v>
      </c>
      <c r="L43" s="141">
        <v>60437103</v>
      </c>
      <c r="M43" s="141">
        <v>30520542</v>
      </c>
      <c r="N43" s="141">
        <v>19306075</v>
      </c>
      <c r="O43" s="141">
        <v>31822594</v>
      </c>
      <c r="P43" s="141">
        <v>30662823</v>
      </c>
      <c r="Q43" s="141">
        <v>75334468</v>
      </c>
      <c r="R43" s="141">
        <v>54812101</v>
      </c>
      <c r="S43" s="141">
        <v>45959621</v>
      </c>
      <c r="T43" s="141">
        <v>42438563</v>
      </c>
      <c r="U43" s="141">
        <v>43663426</v>
      </c>
      <c r="V43" s="141">
        <v>35721691</v>
      </c>
      <c r="W43" s="141">
        <v>17920457</v>
      </c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120"/>
      <c r="BC43" s="25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</row>
    <row r="44" spans="1:200" ht="15" customHeight="1" x14ac:dyDescent="0.2">
      <c r="A44" s="2"/>
      <c r="B44" s="24" t="str">
        <f t="shared" si="1"/>
        <v>[ROW:JAN_2019]</v>
      </c>
      <c r="C44" s="29">
        <f>IF(OR(Client_Info!$D$14="",Client_Info!$D$15=""),"",IF(EOMONTH(Client_Info!$D$14,36)&lt;=Client_Info!$D$15,EOMONTH(Client_Info!$D$14,36),""))</f>
        <v>43496</v>
      </c>
      <c r="D44" s="141">
        <v>77657308</v>
      </c>
      <c r="E44" s="141">
        <v>66630240</v>
      </c>
      <c r="F44" s="141">
        <v>58121712</v>
      </c>
      <c r="G44" s="141">
        <v>56885422</v>
      </c>
      <c r="H44" s="141">
        <v>51847771</v>
      </c>
      <c r="I44" s="141">
        <v>77296970</v>
      </c>
      <c r="J44" s="141">
        <v>102041383</v>
      </c>
      <c r="K44" s="141">
        <v>69320433</v>
      </c>
      <c r="L44" s="141">
        <v>62112333</v>
      </c>
      <c r="M44" s="141">
        <v>32514957</v>
      </c>
      <c r="N44" s="141">
        <v>20339886</v>
      </c>
      <c r="O44" s="141">
        <v>31403105</v>
      </c>
      <c r="P44" s="141">
        <v>31843749</v>
      </c>
      <c r="Q44" s="141">
        <v>80740588</v>
      </c>
      <c r="R44" s="141">
        <v>56095202</v>
      </c>
      <c r="S44" s="141">
        <v>45627936</v>
      </c>
      <c r="T44" s="141">
        <v>42682552</v>
      </c>
      <c r="U44" s="141">
        <v>44119581</v>
      </c>
      <c r="V44" s="141">
        <v>35528334</v>
      </c>
      <c r="W44" s="141">
        <v>17949068</v>
      </c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120"/>
      <c r="BC44" s="25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</row>
    <row r="45" spans="1:200" ht="15" customHeight="1" x14ac:dyDescent="0.2">
      <c r="A45" s="2"/>
      <c r="B45" s="24" t="str">
        <f t="shared" si="1"/>
        <v>[ROW:FEB_2019]</v>
      </c>
      <c r="C45" s="29">
        <f>IF(OR(Client_Info!$D$14="",Client_Info!$D$15=""),"",IF(EOMONTH(Client_Info!$D$14,37)&lt;=Client_Info!$D$15,EOMONTH(Client_Info!$D$14,37),""))</f>
        <v>43524</v>
      </c>
      <c r="D45" s="141">
        <v>72070952</v>
      </c>
      <c r="E45" s="141">
        <v>63603383</v>
      </c>
      <c r="F45" s="141">
        <v>54853550</v>
      </c>
      <c r="G45" s="141">
        <v>55849934</v>
      </c>
      <c r="H45" s="141">
        <v>50504362</v>
      </c>
      <c r="I45" s="141">
        <v>84268299</v>
      </c>
      <c r="J45" s="141">
        <v>103037727</v>
      </c>
      <c r="K45" s="141">
        <v>68398679</v>
      </c>
      <c r="L45" s="141">
        <v>60421937</v>
      </c>
      <c r="M45" s="141">
        <v>33735644</v>
      </c>
      <c r="N45" s="141">
        <v>20729292</v>
      </c>
      <c r="O45" s="141">
        <v>31746365</v>
      </c>
      <c r="P45" s="141">
        <v>32624223</v>
      </c>
      <c r="Q45" s="141">
        <v>83321182</v>
      </c>
      <c r="R45" s="141">
        <v>56228176</v>
      </c>
      <c r="S45" s="141">
        <v>46290072</v>
      </c>
      <c r="T45" s="141">
        <v>43910923</v>
      </c>
      <c r="U45" s="141">
        <v>44373354</v>
      </c>
      <c r="V45" s="141">
        <v>35638488</v>
      </c>
      <c r="W45" s="141">
        <v>17968511</v>
      </c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120"/>
      <c r="BC45" s="25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</row>
    <row r="46" spans="1:200" ht="15" customHeight="1" x14ac:dyDescent="0.2">
      <c r="A46" s="2"/>
      <c r="B46" s="24" t="str">
        <f t="shared" si="1"/>
        <v>[ROW:MAR_2019]</v>
      </c>
      <c r="C46" s="29">
        <f>IF(OR(Client_Info!$D$14="",Client_Info!$D$15=""),"",IF(EOMONTH(Client_Info!$D$14,38)&lt;=Client_Info!$D$15,EOMONTH(Client_Info!$D$14,38),""))</f>
        <v>43555</v>
      </c>
      <c r="D46" s="141">
        <v>68739170</v>
      </c>
      <c r="E46" s="141">
        <v>60988839</v>
      </c>
      <c r="F46" s="141">
        <v>52205502</v>
      </c>
      <c r="G46" s="141">
        <v>55919585</v>
      </c>
      <c r="H46" s="141">
        <v>50593426</v>
      </c>
      <c r="I46" s="141">
        <v>83902646</v>
      </c>
      <c r="J46" s="141">
        <v>99786871</v>
      </c>
      <c r="K46" s="141">
        <v>65917950</v>
      </c>
      <c r="L46" s="141">
        <v>57683093</v>
      </c>
      <c r="M46" s="141">
        <v>33641161</v>
      </c>
      <c r="N46" s="141">
        <v>19817583</v>
      </c>
      <c r="O46" s="141">
        <v>32452262</v>
      </c>
      <c r="P46" s="141">
        <v>33327376</v>
      </c>
      <c r="Q46" s="141">
        <v>87611127</v>
      </c>
      <c r="R46" s="141">
        <v>58148744</v>
      </c>
      <c r="S46" s="141">
        <v>45447979</v>
      </c>
      <c r="T46" s="141">
        <v>43840846</v>
      </c>
      <c r="U46" s="141">
        <v>44553299</v>
      </c>
      <c r="V46" s="141">
        <v>36366586</v>
      </c>
      <c r="W46" s="141">
        <v>17994738</v>
      </c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120"/>
      <c r="BC46" s="25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</row>
    <row r="47" spans="1:200" ht="15" customHeight="1" x14ac:dyDescent="0.2">
      <c r="A47" s="2"/>
      <c r="B47" s="24" t="str">
        <f t="shared" si="1"/>
        <v>[ROW:APR_2019]</v>
      </c>
      <c r="C47" s="29">
        <f>IF(OR(Client_Info!$D$14="",Client_Info!$D$15=""),"",IF(EOMONTH(Client_Info!$D$14,39)&lt;=Client_Info!$D$15,EOMONTH(Client_Info!$D$14,39),""))</f>
        <v>43585</v>
      </c>
      <c r="D47" s="141">
        <v>69961895</v>
      </c>
      <c r="E47" s="141">
        <v>62407479</v>
      </c>
      <c r="F47" s="141">
        <v>52898604</v>
      </c>
      <c r="G47" s="141">
        <v>55690009</v>
      </c>
      <c r="H47" s="141">
        <v>49475084</v>
      </c>
      <c r="I47" s="141">
        <v>88017781</v>
      </c>
      <c r="J47" s="141">
        <v>97166545</v>
      </c>
      <c r="K47" s="141">
        <v>62853604</v>
      </c>
      <c r="L47" s="141">
        <v>55547847</v>
      </c>
      <c r="M47" s="141">
        <v>35717263</v>
      </c>
      <c r="N47" s="141">
        <v>20058313</v>
      </c>
      <c r="O47" s="141">
        <v>33244813</v>
      </c>
      <c r="P47" s="141">
        <v>34354744</v>
      </c>
      <c r="Q47" s="141">
        <v>89780330</v>
      </c>
      <c r="R47" s="141">
        <v>58267423</v>
      </c>
      <c r="S47" s="141">
        <v>46016814</v>
      </c>
      <c r="T47" s="141">
        <v>43884938</v>
      </c>
      <c r="U47" s="141">
        <v>44402777</v>
      </c>
      <c r="V47" s="141">
        <v>36359445</v>
      </c>
      <c r="W47" s="141">
        <v>18017283</v>
      </c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120"/>
      <c r="BC47" s="25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</row>
    <row r="48" spans="1:200" ht="15" customHeight="1" x14ac:dyDescent="0.2">
      <c r="A48" s="2"/>
      <c r="B48" s="24" t="str">
        <f t="shared" si="1"/>
        <v>[ROW:MAY_2019]</v>
      </c>
      <c r="C48" s="29">
        <f>IF(OR(Client_Info!$D$14="",Client_Info!$D$15=""),"",IF(EOMONTH(Client_Info!$D$14,40)&lt;=Client_Info!$D$15,EOMONTH(Client_Info!$D$14,40),""))</f>
        <v>43616</v>
      </c>
      <c r="D48" s="141">
        <v>72911417</v>
      </c>
      <c r="E48" s="141">
        <v>64866984</v>
      </c>
      <c r="F48" s="141">
        <v>55185631</v>
      </c>
      <c r="G48" s="141">
        <v>57430650</v>
      </c>
      <c r="H48" s="141">
        <v>50148521</v>
      </c>
      <c r="I48" s="141">
        <v>83645132</v>
      </c>
      <c r="J48" s="141">
        <v>96292086</v>
      </c>
      <c r="K48" s="141">
        <v>63981671</v>
      </c>
      <c r="L48" s="141">
        <v>56183485</v>
      </c>
      <c r="M48" s="141">
        <v>35131233</v>
      </c>
      <c r="N48" s="141">
        <v>20469147</v>
      </c>
      <c r="O48" s="141">
        <v>34217508</v>
      </c>
      <c r="P48" s="141">
        <v>35256897</v>
      </c>
      <c r="Q48" s="141">
        <v>93510060</v>
      </c>
      <c r="R48" s="141">
        <v>58647510</v>
      </c>
      <c r="S48" s="141">
        <v>45953508</v>
      </c>
      <c r="T48" s="141">
        <v>44647687</v>
      </c>
      <c r="U48" s="141">
        <v>44834871</v>
      </c>
      <c r="V48" s="141">
        <v>36493592</v>
      </c>
      <c r="W48" s="141">
        <v>18041421</v>
      </c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120"/>
      <c r="BC48" s="25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</row>
    <row r="49" spans="1:200" ht="15" customHeight="1" x14ac:dyDescent="0.2">
      <c r="A49" s="2"/>
      <c r="B49" s="24" t="str">
        <f t="shared" si="1"/>
        <v>[ROW:JUN_2019]</v>
      </c>
      <c r="C49" s="29">
        <f>IF(OR(Client_Info!$D$14="",Client_Info!$D$15=""),"",IF(EOMONTH(Client_Info!$D$14,41)&lt;=Client_Info!$D$15,EOMONTH(Client_Info!$D$14,41),""))</f>
        <v>43646</v>
      </c>
      <c r="D49" s="141">
        <v>72718742</v>
      </c>
      <c r="E49" s="141">
        <v>66364635</v>
      </c>
      <c r="F49" s="141">
        <v>56694855</v>
      </c>
      <c r="G49" s="141">
        <v>59175891</v>
      </c>
      <c r="H49" s="141">
        <v>52115001</v>
      </c>
      <c r="I49" s="141">
        <v>83370090</v>
      </c>
      <c r="J49" s="141">
        <v>101477628</v>
      </c>
      <c r="K49" s="141">
        <v>67026670</v>
      </c>
      <c r="L49" s="141">
        <v>62136325</v>
      </c>
      <c r="M49" s="141">
        <v>37491871</v>
      </c>
      <c r="N49" s="141">
        <v>21413309</v>
      </c>
      <c r="O49" s="141">
        <v>34430263</v>
      </c>
      <c r="P49" s="141">
        <v>36493143</v>
      </c>
      <c r="Q49" s="141">
        <v>97697611</v>
      </c>
      <c r="R49" s="141">
        <v>56672259</v>
      </c>
      <c r="S49" s="141">
        <v>46451486</v>
      </c>
      <c r="T49" s="141">
        <v>44730233</v>
      </c>
      <c r="U49" s="141">
        <v>44846667</v>
      </c>
      <c r="V49" s="141">
        <v>36478004</v>
      </c>
      <c r="W49" s="141">
        <v>18067358</v>
      </c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120"/>
      <c r="BC49" s="25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</row>
    <row r="50" spans="1:200" ht="15" customHeight="1" x14ac:dyDescent="0.2">
      <c r="A50" s="2"/>
      <c r="B50" s="24" t="str">
        <f t="shared" si="1"/>
        <v>[ROW:JUL_2019]</v>
      </c>
      <c r="C50" s="29">
        <f>IF(OR(Client_Info!$D$14="",Client_Info!$D$15=""),"",IF(EOMONTH(Client_Info!$D$14,42)&lt;=Client_Info!$D$15,EOMONTH(Client_Info!$D$14,42),""))</f>
        <v>43677</v>
      </c>
      <c r="D50" s="141">
        <v>72742217</v>
      </c>
      <c r="E50" s="141">
        <v>67281426</v>
      </c>
      <c r="F50" s="141">
        <v>55867225</v>
      </c>
      <c r="G50" s="141">
        <v>63805959</v>
      </c>
      <c r="H50" s="141">
        <v>55935375</v>
      </c>
      <c r="I50" s="141">
        <v>82497783</v>
      </c>
      <c r="J50" s="141">
        <v>100678154</v>
      </c>
      <c r="K50" s="141">
        <v>67226320</v>
      </c>
      <c r="L50" s="141">
        <v>63030197</v>
      </c>
      <c r="M50" s="141">
        <v>41544549</v>
      </c>
      <c r="N50" s="141">
        <v>23306186</v>
      </c>
      <c r="O50" s="141">
        <v>34297040</v>
      </c>
      <c r="P50" s="141">
        <v>36555974</v>
      </c>
      <c r="Q50" s="141">
        <v>100202254</v>
      </c>
      <c r="R50" s="141">
        <v>55641966</v>
      </c>
      <c r="S50" s="141">
        <v>46213574</v>
      </c>
      <c r="T50" s="141">
        <v>45586833</v>
      </c>
      <c r="U50" s="141">
        <v>44983323</v>
      </c>
      <c r="V50" s="141">
        <v>36893308</v>
      </c>
      <c r="W50" s="141">
        <v>18098360</v>
      </c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120"/>
      <c r="BC50" s="25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</row>
    <row r="51" spans="1:200" ht="15" customHeight="1" x14ac:dyDescent="0.2">
      <c r="A51" s="2"/>
      <c r="B51" s="24" t="str">
        <f t="shared" si="1"/>
        <v>[ROW:AUG_2019]</v>
      </c>
      <c r="C51" s="29">
        <f>IF(OR(Client_Info!$D$14="",Client_Info!$D$15=""),"",IF(EOMONTH(Client_Info!$D$14,43)&lt;=Client_Info!$D$15,EOMONTH(Client_Info!$D$14,43),""))</f>
        <v>43708</v>
      </c>
      <c r="D51" s="141">
        <v>72720436</v>
      </c>
      <c r="E51" s="141">
        <v>67343382</v>
      </c>
      <c r="F51" s="141">
        <v>53915744</v>
      </c>
      <c r="G51" s="141">
        <v>60033380</v>
      </c>
      <c r="H51" s="141">
        <v>54339878</v>
      </c>
      <c r="I51" s="141">
        <v>84173554</v>
      </c>
      <c r="J51" s="141">
        <v>97655145</v>
      </c>
      <c r="K51" s="141">
        <v>65592528</v>
      </c>
      <c r="L51" s="141">
        <v>59527460</v>
      </c>
      <c r="M51" s="141">
        <v>43930667</v>
      </c>
      <c r="N51" s="141">
        <v>24752456</v>
      </c>
      <c r="O51" s="141">
        <v>34678413</v>
      </c>
      <c r="P51" s="141">
        <v>37221270</v>
      </c>
      <c r="Q51" s="141">
        <v>98137225</v>
      </c>
      <c r="R51" s="141">
        <v>56296996</v>
      </c>
      <c r="S51" s="141">
        <v>45757634</v>
      </c>
      <c r="T51" s="141">
        <v>45986411</v>
      </c>
      <c r="U51" s="141">
        <v>45241998</v>
      </c>
      <c r="V51" s="141">
        <v>37357588</v>
      </c>
      <c r="W51" s="141">
        <v>18124810</v>
      </c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120"/>
      <c r="BC51" s="25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</row>
    <row r="52" spans="1:200" ht="15" customHeight="1" x14ac:dyDescent="0.2">
      <c r="A52" s="2"/>
      <c r="B52" s="24" t="str">
        <f t="shared" si="1"/>
        <v>[ROW:SEP_2019]</v>
      </c>
      <c r="C52" s="29">
        <f>IF(OR(Client_Info!$D$14="",Client_Info!$D$15=""),"",IF(EOMONTH(Client_Info!$D$14,44)&lt;=Client_Info!$D$15,EOMONTH(Client_Info!$D$14,44),""))</f>
        <v>43738</v>
      </c>
      <c r="D52" s="141">
        <v>69047374</v>
      </c>
      <c r="E52" s="141">
        <v>64280151</v>
      </c>
      <c r="F52" s="141">
        <v>50642078</v>
      </c>
      <c r="G52" s="141">
        <v>64895776</v>
      </c>
      <c r="H52" s="141">
        <v>59270260</v>
      </c>
      <c r="I52" s="141">
        <v>82260354</v>
      </c>
      <c r="J52" s="141">
        <v>94675102</v>
      </c>
      <c r="K52" s="141">
        <v>64897991</v>
      </c>
      <c r="L52" s="141">
        <v>58469625</v>
      </c>
      <c r="M52" s="141">
        <v>46220489</v>
      </c>
      <c r="N52" s="141">
        <v>26466061</v>
      </c>
      <c r="O52" s="141">
        <v>34734859</v>
      </c>
      <c r="P52" s="141">
        <v>37322727</v>
      </c>
      <c r="Q52" s="141">
        <v>103316299</v>
      </c>
      <c r="R52" s="141">
        <v>55519546</v>
      </c>
      <c r="S52" s="141">
        <v>46329134</v>
      </c>
      <c r="T52" s="141">
        <v>46483046</v>
      </c>
      <c r="U52" s="141">
        <v>44853868</v>
      </c>
      <c r="V52" s="141">
        <v>36761993</v>
      </c>
      <c r="W52" s="141">
        <v>18151135</v>
      </c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120"/>
      <c r="BC52" s="25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</row>
    <row r="53" spans="1:200" ht="15" customHeight="1" x14ac:dyDescent="0.2">
      <c r="A53" s="2"/>
      <c r="B53" s="24" t="str">
        <f t="shared" si="1"/>
        <v>[ROW:OCT_2019]</v>
      </c>
      <c r="C53" s="29">
        <f>IF(OR(Client_Info!$D$14="",Client_Info!$D$15=""),"",IF(EOMONTH(Client_Info!$D$14,45)&lt;=Client_Info!$D$15,EOMONTH(Client_Info!$D$14,45),""))</f>
        <v>43769</v>
      </c>
      <c r="D53" s="141">
        <v>66881353</v>
      </c>
      <c r="E53" s="141">
        <v>63102365</v>
      </c>
      <c r="F53" s="141">
        <v>48740993</v>
      </c>
      <c r="G53" s="141">
        <v>60508531</v>
      </c>
      <c r="H53" s="141">
        <v>55266398</v>
      </c>
      <c r="I53" s="141">
        <v>85886720</v>
      </c>
      <c r="J53" s="141">
        <v>91174906</v>
      </c>
      <c r="K53" s="141">
        <v>63226515</v>
      </c>
      <c r="L53" s="141">
        <v>54573882</v>
      </c>
      <c r="M53" s="141">
        <v>46704583</v>
      </c>
      <c r="N53" s="141">
        <v>24538802</v>
      </c>
      <c r="O53" s="141">
        <v>35018952</v>
      </c>
      <c r="P53" s="141">
        <v>38552375</v>
      </c>
      <c r="Q53" s="141">
        <v>96824574</v>
      </c>
      <c r="R53" s="141">
        <v>53725741</v>
      </c>
      <c r="S53" s="141">
        <v>45839493</v>
      </c>
      <c r="T53" s="141">
        <v>47281214</v>
      </c>
      <c r="U53" s="141">
        <v>45632623</v>
      </c>
      <c r="V53" s="141">
        <v>37449848</v>
      </c>
      <c r="W53" s="141">
        <v>18169459</v>
      </c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120"/>
      <c r="BC53" s="25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</row>
    <row r="54" spans="1:200" ht="15" customHeight="1" x14ac:dyDescent="0.2">
      <c r="A54" s="2"/>
      <c r="B54" s="24" t="str">
        <f t="shared" si="1"/>
        <v>[ROW:NOV_2019]</v>
      </c>
      <c r="C54" s="29">
        <f>IF(OR(Client_Info!$D$14="",Client_Info!$D$15=""),"",IF(EOMONTH(Client_Info!$D$14,46)&lt;=Client_Info!$D$15,EOMONTH(Client_Info!$D$14,46),""))</f>
        <v>43799</v>
      </c>
      <c r="D54" s="141">
        <v>67305084</v>
      </c>
      <c r="E54" s="141">
        <v>62575098</v>
      </c>
      <c r="F54" s="141">
        <v>47959644</v>
      </c>
      <c r="G54" s="141">
        <v>61527259</v>
      </c>
      <c r="H54" s="141">
        <v>54571084</v>
      </c>
      <c r="I54" s="141">
        <v>82166815</v>
      </c>
      <c r="J54" s="141">
        <v>83642227</v>
      </c>
      <c r="K54" s="141">
        <v>59495313</v>
      </c>
      <c r="L54" s="141">
        <v>50872032</v>
      </c>
      <c r="M54" s="141">
        <v>47858443</v>
      </c>
      <c r="N54" s="141">
        <v>26089954</v>
      </c>
      <c r="O54" s="141">
        <v>35345452</v>
      </c>
      <c r="P54" s="141">
        <v>39686820</v>
      </c>
      <c r="Q54" s="141">
        <v>99371337</v>
      </c>
      <c r="R54" s="141">
        <v>53917365</v>
      </c>
      <c r="S54" s="141">
        <v>46168437</v>
      </c>
      <c r="T54" s="141">
        <v>46402975</v>
      </c>
      <c r="U54" s="141">
        <v>45030351</v>
      </c>
      <c r="V54" s="141">
        <v>36736331</v>
      </c>
      <c r="W54" s="141">
        <v>18188239</v>
      </c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120"/>
      <c r="BC54" s="25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</row>
    <row r="55" spans="1:200" ht="15" customHeight="1" x14ac:dyDescent="0.2">
      <c r="A55" s="2"/>
      <c r="B55" s="24" t="str">
        <f t="shared" si="1"/>
        <v>[ROW:DEC_2019]</v>
      </c>
      <c r="C55" s="29">
        <f>IF(OR(Client_Info!$D$14="",Client_Info!$D$15=""),"",IF(EOMONTH(Client_Info!$D$14,47)&lt;=Client_Info!$D$15,EOMONTH(Client_Info!$D$14,47),""))</f>
        <v>43830</v>
      </c>
      <c r="D55" s="141">
        <v>70498015</v>
      </c>
      <c r="E55" s="141">
        <v>66391452</v>
      </c>
      <c r="F55" s="141">
        <v>50592231</v>
      </c>
      <c r="G55" s="141">
        <v>63601722</v>
      </c>
      <c r="H55" s="141">
        <v>55905281</v>
      </c>
      <c r="I55" s="141">
        <v>81931409</v>
      </c>
      <c r="J55" s="141">
        <v>82605794</v>
      </c>
      <c r="K55" s="141">
        <v>56743654</v>
      </c>
      <c r="L55" s="141">
        <v>48769166</v>
      </c>
      <c r="M55" s="141">
        <v>51739771</v>
      </c>
      <c r="N55" s="141">
        <v>27609792</v>
      </c>
      <c r="O55" s="141">
        <v>35513683</v>
      </c>
      <c r="P55" s="141">
        <v>40920466</v>
      </c>
      <c r="Q55" s="141">
        <v>98602820</v>
      </c>
      <c r="R55" s="141">
        <v>55122130</v>
      </c>
      <c r="S55" s="141">
        <v>45871541</v>
      </c>
      <c r="T55" s="141">
        <v>46273355</v>
      </c>
      <c r="U55" s="141">
        <v>45531477</v>
      </c>
      <c r="V55" s="141">
        <v>37046533</v>
      </c>
      <c r="W55" s="141">
        <v>18220419</v>
      </c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120"/>
      <c r="BC55" s="25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</row>
    <row r="56" spans="1:200" ht="15" customHeight="1" x14ac:dyDescent="0.2">
      <c r="A56" s="2"/>
      <c r="B56" s="24" t="str">
        <f t="shared" si="1"/>
        <v>[ROW:JAN_2020]</v>
      </c>
      <c r="C56" s="29">
        <f>IF(OR(Client_Info!$D$14="",Client_Info!$D$15=""),"",IF(EOMONTH(Client_Info!$D$14,48)&lt;=Client_Info!$D$15,EOMONTH(Client_Info!$D$14,48),""))</f>
        <v>43861</v>
      </c>
      <c r="D56" s="141">
        <v>73158617</v>
      </c>
      <c r="E56" s="141">
        <v>67937598</v>
      </c>
      <c r="F56" s="141">
        <v>51583183</v>
      </c>
      <c r="G56" s="141">
        <v>64465090</v>
      </c>
      <c r="H56" s="141">
        <v>57189254</v>
      </c>
      <c r="I56" s="141">
        <v>82165301</v>
      </c>
      <c r="J56" s="141">
        <v>85049691</v>
      </c>
      <c r="K56" s="141">
        <v>58174893</v>
      </c>
      <c r="L56" s="141">
        <v>50348333</v>
      </c>
      <c r="M56" s="141">
        <v>56034814</v>
      </c>
      <c r="N56" s="141">
        <v>28912848</v>
      </c>
      <c r="O56" s="141">
        <v>35967829</v>
      </c>
      <c r="P56" s="141">
        <v>41899194</v>
      </c>
      <c r="Q56" s="141">
        <v>98816336</v>
      </c>
      <c r="R56" s="141">
        <v>54209559</v>
      </c>
      <c r="S56" s="141">
        <v>46202960</v>
      </c>
      <c r="T56" s="141">
        <v>46013749</v>
      </c>
      <c r="U56" s="141">
        <v>45866611</v>
      </c>
      <c r="V56" s="141">
        <v>37201092</v>
      </c>
      <c r="W56" s="141">
        <v>18239327</v>
      </c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120"/>
      <c r="BC56" s="25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</row>
    <row r="57" spans="1:200" ht="15" customHeight="1" x14ac:dyDescent="0.2">
      <c r="A57" s="2"/>
      <c r="B57" s="24" t="str">
        <f t="shared" si="1"/>
        <v>[ROW:FEB_2020]</v>
      </c>
      <c r="C57" s="29">
        <f>IF(OR(Client_Info!$D$14="",Client_Info!$D$15=""),"",IF(EOMONTH(Client_Info!$D$14,49)&lt;=Client_Info!$D$15,EOMONTH(Client_Info!$D$14,49),""))</f>
        <v>43890</v>
      </c>
      <c r="D57" s="141">
        <v>67788737</v>
      </c>
      <c r="E57" s="141">
        <v>63072645</v>
      </c>
      <c r="F57" s="141">
        <v>48602426</v>
      </c>
      <c r="G57" s="141">
        <v>58716426</v>
      </c>
      <c r="H57" s="141">
        <v>52509019</v>
      </c>
      <c r="I57" s="141">
        <v>76519140</v>
      </c>
      <c r="J57" s="141">
        <v>89147461</v>
      </c>
      <c r="K57" s="141">
        <v>61704259</v>
      </c>
      <c r="L57" s="141">
        <v>52377703</v>
      </c>
      <c r="M57" s="141">
        <v>62443543</v>
      </c>
      <c r="N57" s="141">
        <v>32451690</v>
      </c>
      <c r="O57" s="141">
        <v>36510309</v>
      </c>
      <c r="P57" s="141">
        <v>42687110</v>
      </c>
      <c r="Q57" s="141">
        <v>103811021</v>
      </c>
      <c r="R57" s="141">
        <v>52242299</v>
      </c>
      <c r="S57" s="141">
        <v>45594657</v>
      </c>
      <c r="T57" s="141">
        <v>46751838</v>
      </c>
      <c r="U57" s="141">
        <v>46742461</v>
      </c>
      <c r="V57" s="141">
        <v>37919935</v>
      </c>
      <c r="W57" s="141">
        <v>18268912</v>
      </c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120"/>
      <c r="BC57" s="25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</row>
    <row r="58" spans="1:200" ht="15" customHeight="1" x14ac:dyDescent="0.2">
      <c r="A58" s="2"/>
      <c r="B58" s="24" t="str">
        <f t="shared" si="1"/>
        <v>[ROW:MAR_2020]</v>
      </c>
      <c r="C58" s="29">
        <f>IF(OR(Client_Info!$D$14="",Client_Info!$D$15=""),"",IF(EOMONTH(Client_Info!$D$14,50)&lt;=Client_Info!$D$15,EOMONTH(Client_Info!$D$14,50),""))</f>
        <v>43921</v>
      </c>
      <c r="D58" s="141">
        <v>58922287</v>
      </c>
      <c r="E58" s="141">
        <v>55397028</v>
      </c>
      <c r="F58" s="141">
        <v>42817092</v>
      </c>
      <c r="G58" s="141">
        <v>49697281</v>
      </c>
      <c r="H58" s="141">
        <v>44979919</v>
      </c>
      <c r="I58" s="141">
        <v>63359830</v>
      </c>
      <c r="J58" s="141">
        <v>84080525</v>
      </c>
      <c r="K58" s="141">
        <v>57225071</v>
      </c>
      <c r="L58" s="141">
        <v>49198751</v>
      </c>
      <c r="M58" s="141">
        <v>59222933</v>
      </c>
      <c r="N58" s="141">
        <v>28259489</v>
      </c>
      <c r="O58" s="141">
        <v>36716114</v>
      </c>
      <c r="P58" s="141">
        <v>42411131</v>
      </c>
      <c r="Q58" s="141">
        <v>96628315</v>
      </c>
      <c r="R58" s="141">
        <v>51368819</v>
      </c>
      <c r="S58" s="141">
        <v>45410536</v>
      </c>
      <c r="T58" s="141">
        <v>45852305</v>
      </c>
      <c r="U58" s="141">
        <v>46621717</v>
      </c>
      <c r="V58" s="141">
        <v>37722650</v>
      </c>
      <c r="W58" s="141">
        <v>18286591</v>
      </c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120"/>
      <c r="BC58" s="25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</row>
    <row r="59" spans="1:200" ht="15" customHeight="1" x14ac:dyDescent="0.2">
      <c r="A59" s="2"/>
      <c r="B59" s="24" t="str">
        <f t="shared" si="1"/>
        <v>[ROW:APR_2020]</v>
      </c>
      <c r="C59" s="29">
        <f>IF(OR(Client_Info!$D$14="",Client_Info!$D$15=""),"",IF(EOMONTH(Client_Info!$D$14,51)&lt;=Client_Info!$D$15,EOMONTH(Client_Info!$D$14,51),""))</f>
        <v>43951</v>
      </c>
      <c r="D59" s="141">
        <v>67888267</v>
      </c>
      <c r="E59" s="141">
        <v>61098568</v>
      </c>
      <c r="F59" s="141">
        <v>48622532</v>
      </c>
      <c r="G59" s="141">
        <v>55552301</v>
      </c>
      <c r="H59" s="141">
        <v>49876430</v>
      </c>
      <c r="I59" s="141">
        <v>68380696</v>
      </c>
      <c r="J59" s="141">
        <v>87327763</v>
      </c>
      <c r="K59" s="141">
        <v>60645485</v>
      </c>
      <c r="L59" s="141">
        <v>51660396</v>
      </c>
      <c r="M59" s="141">
        <v>59120625</v>
      </c>
      <c r="N59" s="141">
        <v>27746495</v>
      </c>
      <c r="O59" s="141">
        <v>37449124</v>
      </c>
      <c r="P59" s="141">
        <v>42788862</v>
      </c>
      <c r="Q59" s="141">
        <v>101026693</v>
      </c>
      <c r="R59" s="141">
        <v>54372883</v>
      </c>
      <c r="S59" s="141">
        <v>47029411</v>
      </c>
      <c r="T59" s="141">
        <v>46667295</v>
      </c>
      <c r="U59" s="141">
        <v>47597942</v>
      </c>
      <c r="V59" s="141">
        <v>38120686</v>
      </c>
      <c r="W59" s="141">
        <v>18303643</v>
      </c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120"/>
      <c r="BC59" s="25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</row>
    <row r="60" spans="1:200" ht="15" customHeight="1" x14ac:dyDescent="0.2">
      <c r="A60" s="2"/>
      <c r="B60" s="24" t="str">
        <f t="shared" si="1"/>
        <v>[ROW:MAY_2020]</v>
      </c>
      <c r="C60" s="29">
        <f>IF(OR(Client_Info!$D$14="",Client_Info!$D$15=""),"",IF(EOMONTH(Client_Info!$D$14,52)&lt;=Client_Info!$D$15,EOMONTH(Client_Info!$D$14,52),""))</f>
        <v>43982</v>
      </c>
      <c r="D60" s="141">
        <v>65754685</v>
      </c>
      <c r="E60" s="141">
        <v>60302497</v>
      </c>
      <c r="F60" s="141">
        <v>48181001</v>
      </c>
      <c r="G60" s="141">
        <v>55119145</v>
      </c>
      <c r="H60" s="141">
        <v>48152122</v>
      </c>
      <c r="I60" s="141">
        <v>63404778</v>
      </c>
      <c r="J60" s="141">
        <v>87409334</v>
      </c>
      <c r="K60" s="141">
        <v>60957240</v>
      </c>
      <c r="L60" s="141">
        <v>53748959</v>
      </c>
      <c r="M60" s="141">
        <v>60271701</v>
      </c>
      <c r="N60" s="141">
        <v>28582899</v>
      </c>
      <c r="O60" s="141">
        <v>37606084</v>
      </c>
      <c r="P60" s="141">
        <v>45076035</v>
      </c>
      <c r="Q60" s="141">
        <v>109034249</v>
      </c>
      <c r="R60" s="141">
        <v>52731252</v>
      </c>
      <c r="S60" s="141">
        <v>46555235</v>
      </c>
      <c r="T60" s="141">
        <v>46338863</v>
      </c>
      <c r="U60" s="141">
        <v>47541392</v>
      </c>
      <c r="V60" s="141">
        <v>38000183</v>
      </c>
      <c r="W60" s="141">
        <v>18324413</v>
      </c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120"/>
      <c r="BC60" s="25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</row>
    <row r="61" spans="1:200" ht="15" customHeight="1" x14ac:dyDescent="0.2">
      <c r="A61" s="2"/>
      <c r="B61" s="24" t="str">
        <f t="shared" si="1"/>
        <v>[ROW:JUN_2020]</v>
      </c>
      <c r="C61" s="29">
        <f>IF(OR(Client_Info!$D$14="",Client_Info!$D$15=""),"",IF(EOMONTH(Client_Info!$D$14,53)&lt;=Client_Info!$D$15,EOMONTH(Client_Info!$D$14,53),""))</f>
        <v>44012</v>
      </c>
      <c r="D61" s="141">
        <v>68961311</v>
      </c>
      <c r="E61" s="141">
        <v>62716383</v>
      </c>
      <c r="F61" s="141">
        <v>49207195</v>
      </c>
      <c r="G61" s="141">
        <v>57045521</v>
      </c>
      <c r="H61" s="141">
        <v>49852484</v>
      </c>
      <c r="I61" s="141">
        <v>67461137</v>
      </c>
      <c r="J61" s="141">
        <v>88260618</v>
      </c>
      <c r="K61" s="141">
        <v>61460177</v>
      </c>
      <c r="L61" s="141">
        <v>53925463</v>
      </c>
      <c r="M61" s="141">
        <v>66081922</v>
      </c>
      <c r="N61" s="141">
        <v>29631129</v>
      </c>
      <c r="O61" s="141">
        <v>38717194</v>
      </c>
      <c r="P61" s="141">
        <v>46386319</v>
      </c>
      <c r="Q61" s="141">
        <v>109422651</v>
      </c>
      <c r="R61" s="141">
        <v>52437434</v>
      </c>
      <c r="S61" s="141">
        <v>45240504</v>
      </c>
      <c r="T61" s="141">
        <v>46422356</v>
      </c>
      <c r="U61" s="141">
        <v>47101029</v>
      </c>
      <c r="V61" s="141">
        <v>38015241</v>
      </c>
      <c r="W61" s="141">
        <v>18344329</v>
      </c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120"/>
      <c r="BC61" s="25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</row>
    <row r="62" spans="1:200" ht="15" customHeight="1" x14ac:dyDescent="0.2">
      <c r="A62" s="2"/>
      <c r="B62" s="24" t="str">
        <f t="shared" si="1"/>
        <v>[ROW:JUL_2020]</v>
      </c>
      <c r="C62" s="29">
        <f>IF(OR(Client_Info!$D$14="",Client_Info!$D$15=""),"",IF(EOMONTH(Client_Info!$D$14,54)&lt;=Client_Info!$D$15,EOMONTH(Client_Info!$D$14,54),""))</f>
        <v>44043</v>
      </c>
      <c r="D62" s="141">
        <v>73641301</v>
      </c>
      <c r="E62" s="141">
        <v>66237592</v>
      </c>
      <c r="F62" s="141">
        <v>52695585</v>
      </c>
      <c r="G62" s="141">
        <v>57891755</v>
      </c>
      <c r="H62" s="141">
        <v>51248755</v>
      </c>
      <c r="I62" s="141">
        <v>69824218</v>
      </c>
      <c r="J62" s="141">
        <v>98617464</v>
      </c>
      <c r="K62" s="141">
        <v>66152824</v>
      </c>
      <c r="L62" s="141">
        <v>59757397</v>
      </c>
      <c r="M62" s="141">
        <v>69863483</v>
      </c>
      <c r="N62" s="141">
        <v>32210104</v>
      </c>
      <c r="O62" s="141">
        <v>39161300</v>
      </c>
      <c r="P62" s="141">
        <v>47893501</v>
      </c>
      <c r="Q62" s="141">
        <v>108583726</v>
      </c>
      <c r="R62" s="141">
        <v>55444620</v>
      </c>
      <c r="S62" s="141">
        <v>46486542</v>
      </c>
      <c r="T62" s="141">
        <v>46827106</v>
      </c>
      <c r="U62" s="141">
        <v>47573687</v>
      </c>
      <c r="V62" s="141">
        <v>38453573</v>
      </c>
      <c r="W62" s="141">
        <v>18354999</v>
      </c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120"/>
      <c r="BC62" s="25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</row>
    <row r="63" spans="1:200" ht="15" customHeight="1" x14ac:dyDescent="0.2">
      <c r="A63" s="2"/>
      <c r="B63" s="24" t="str">
        <f t="shared" si="1"/>
        <v>[ROW:AUG_2020]</v>
      </c>
      <c r="C63" s="29">
        <f>IF(OR(Client_Info!$D$14="",Client_Info!$D$15=""),"",IF(EOMONTH(Client_Info!$D$14,55)&lt;=Client_Info!$D$15,EOMONTH(Client_Info!$D$14,55),""))</f>
        <v>44074</v>
      </c>
      <c r="D63" s="141">
        <v>76899827</v>
      </c>
      <c r="E63" s="141">
        <v>69567742</v>
      </c>
      <c r="F63" s="141">
        <v>55355766</v>
      </c>
      <c r="G63" s="141">
        <v>56786012</v>
      </c>
      <c r="H63" s="141">
        <v>50346335</v>
      </c>
      <c r="I63" s="141">
        <v>69160240</v>
      </c>
      <c r="J63" s="141">
        <v>101288402</v>
      </c>
      <c r="K63" s="141">
        <v>70557741</v>
      </c>
      <c r="L63" s="141">
        <v>63460091</v>
      </c>
      <c r="M63" s="141">
        <v>69666065</v>
      </c>
      <c r="N63" s="141">
        <v>29632730</v>
      </c>
      <c r="O63" s="141">
        <v>39391789</v>
      </c>
      <c r="P63" s="141">
        <v>48089176</v>
      </c>
      <c r="Q63" s="141">
        <v>111539167</v>
      </c>
      <c r="R63" s="141">
        <v>55882384</v>
      </c>
      <c r="S63" s="141">
        <v>46754618</v>
      </c>
      <c r="T63" s="141">
        <v>48395722</v>
      </c>
      <c r="U63" s="141">
        <v>47011063</v>
      </c>
      <c r="V63" s="141">
        <v>37713068</v>
      </c>
      <c r="W63" s="141">
        <v>18362259</v>
      </c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120"/>
      <c r="BC63" s="25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</row>
    <row r="64" spans="1:200" ht="15" customHeight="1" x14ac:dyDescent="0.2">
      <c r="A64" s="2"/>
      <c r="B64" s="24" t="str">
        <f t="shared" si="1"/>
        <v>[ROW:SEP_2020]</v>
      </c>
      <c r="C64" s="29">
        <f>IF(OR(Client_Info!$D$14="",Client_Info!$D$15=""),"",IF(EOMONTH(Client_Info!$D$14,56)&lt;=Client_Info!$D$15,EOMONTH(Client_Info!$D$14,56),""))</f>
        <v>44104</v>
      </c>
      <c r="D64" s="141">
        <v>76238972</v>
      </c>
      <c r="E64" s="141">
        <v>68473320</v>
      </c>
      <c r="F64" s="141">
        <v>54502644</v>
      </c>
      <c r="G64" s="141">
        <v>58895466</v>
      </c>
      <c r="H64" s="141">
        <v>52662205</v>
      </c>
      <c r="I64" s="141">
        <v>74703055</v>
      </c>
      <c r="J64" s="141">
        <v>105289813</v>
      </c>
      <c r="K64" s="141">
        <v>72628055</v>
      </c>
      <c r="L64" s="141">
        <v>64923021</v>
      </c>
      <c r="M64" s="141">
        <v>66015690</v>
      </c>
      <c r="N64" s="141">
        <v>27878252</v>
      </c>
      <c r="O64" s="141">
        <v>38927621</v>
      </c>
      <c r="P64" s="141">
        <v>49217067</v>
      </c>
      <c r="Q64" s="141">
        <v>117063879</v>
      </c>
      <c r="R64" s="141">
        <v>58374900</v>
      </c>
      <c r="S64" s="141">
        <v>46521265</v>
      </c>
      <c r="T64" s="141">
        <v>49082748</v>
      </c>
      <c r="U64" s="141">
        <v>46840270</v>
      </c>
      <c r="V64" s="141">
        <v>37253234</v>
      </c>
      <c r="W64" s="141">
        <v>18369335</v>
      </c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120"/>
      <c r="BC64" s="25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</row>
    <row r="65" spans="1:200" ht="15" customHeight="1" x14ac:dyDescent="0.2">
      <c r="A65" s="2"/>
      <c r="B65" s="24" t="str">
        <f t="shared" si="1"/>
        <v>[ROW:OCT_2020]</v>
      </c>
      <c r="C65" s="29">
        <f>IF(OR(Client_Info!$D$14="",Client_Info!$D$15=""),"",IF(EOMONTH(Client_Info!$D$14,57)&lt;=Client_Info!$D$15,EOMONTH(Client_Info!$D$14,57),""))</f>
        <v>44135</v>
      </c>
      <c r="D65" s="141">
        <v>75887517</v>
      </c>
      <c r="E65" s="141">
        <v>69158770</v>
      </c>
      <c r="F65" s="141">
        <v>53542840</v>
      </c>
      <c r="G65" s="141">
        <v>59925493</v>
      </c>
      <c r="H65" s="141">
        <v>53584088</v>
      </c>
      <c r="I65" s="141">
        <v>76001604</v>
      </c>
      <c r="J65" s="141">
        <v>108711879</v>
      </c>
      <c r="K65" s="141">
        <v>72328710</v>
      </c>
      <c r="L65" s="141">
        <v>66341786</v>
      </c>
      <c r="M65" s="141">
        <v>65328718</v>
      </c>
      <c r="N65" s="141">
        <v>27830874</v>
      </c>
      <c r="O65" s="141">
        <v>39043927</v>
      </c>
      <c r="P65" s="141">
        <v>48609827</v>
      </c>
      <c r="Q65" s="141">
        <v>115044393</v>
      </c>
      <c r="R65" s="141">
        <v>58454579</v>
      </c>
      <c r="S65" s="141">
        <v>46311943</v>
      </c>
      <c r="T65" s="141">
        <v>49552194</v>
      </c>
      <c r="U65" s="141">
        <v>46523950</v>
      </c>
      <c r="V65" s="141">
        <v>37046084</v>
      </c>
      <c r="W65" s="141">
        <v>18376554</v>
      </c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120"/>
      <c r="BC65" s="25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</row>
    <row r="66" spans="1:200" ht="15" customHeight="1" x14ac:dyDescent="0.2">
      <c r="A66" s="2"/>
      <c r="B66" s="24" t="str">
        <f t="shared" si="1"/>
        <v>[ROW:NOV_2020]</v>
      </c>
      <c r="C66" s="29">
        <f>IF(OR(Client_Info!$D$14="",Client_Info!$D$15=""),"",IF(EOMONTH(Client_Info!$D$14,58)&lt;=Client_Info!$D$15,EOMONTH(Client_Info!$D$14,58),""))</f>
        <v>44165</v>
      </c>
      <c r="D66" s="141">
        <v>78114386</v>
      </c>
      <c r="E66" s="141">
        <v>70382200</v>
      </c>
      <c r="F66" s="141">
        <v>53712440</v>
      </c>
      <c r="G66" s="141">
        <v>63696620</v>
      </c>
      <c r="H66" s="141">
        <v>55593819</v>
      </c>
      <c r="I66" s="141">
        <v>81808664</v>
      </c>
      <c r="J66" s="141">
        <v>111064492</v>
      </c>
      <c r="K66" s="141">
        <v>74161677</v>
      </c>
      <c r="L66" s="141">
        <v>67927639</v>
      </c>
      <c r="M66" s="141">
        <v>63395569</v>
      </c>
      <c r="N66" s="141">
        <v>27026368</v>
      </c>
      <c r="O66" s="141">
        <v>40304141</v>
      </c>
      <c r="P66" s="141">
        <v>48053856</v>
      </c>
      <c r="Q66" s="141">
        <v>114918700</v>
      </c>
      <c r="R66" s="141">
        <v>58040398</v>
      </c>
      <c r="S66" s="141">
        <v>46205203</v>
      </c>
      <c r="T66" s="141">
        <v>49557136</v>
      </c>
      <c r="U66" s="141">
        <v>47237270</v>
      </c>
      <c r="V66" s="141">
        <v>37443748</v>
      </c>
      <c r="W66" s="141">
        <v>18384763</v>
      </c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120"/>
      <c r="BC66" s="25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</row>
    <row r="67" spans="1:200" ht="15" customHeight="1" x14ac:dyDescent="0.2">
      <c r="A67" s="2"/>
      <c r="B67" s="24" t="str">
        <f t="shared" si="1"/>
        <v>[ROW:DEC_2020]</v>
      </c>
      <c r="C67" s="29">
        <f>IF(OR(Client_Info!$D$14="",Client_Info!$D$15=""),"",IF(EOMONTH(Client_Info!$D$14,59)&lt;=Client_Info!$D$15,EOMONTH(Client_Info!$D$14,59),""))</f>
        <v>44196</v>
      </c>
      <c r="D67" s="141">
        <v>82560262</v>
      </c>
      <c r="E67" s="141">
        <v>74940247</v>
      </c>
      <c r="F67" s="141">
        <v>57219732</v>
      </c>
      <c r="G67" s="141">
        <v>65507328</v>
      </c>
      <c r="H67" s="141">
        <v>56892371</v>
      </c>
      <c r="I67" s="141">
        <v>83300674</v>
      </c>
      <c r="J67" s="141">
        <v>114978323</v>
      </c>
      <c r="K67" s="141">
        <v>75907732</v>
      </c>
      <c r="L67" s="141">
        <v>65549679</v>
      </c>
      <c r="M67" s="141">
        <v>65263590</v>
      </c>
      <c r="N67" s="141">
        <v>27623353</v>
      </c>
      <c r="O67" s="141">
        <v>40449403</v>
      </c>
      <c r="P67" s="141">
        <v>49096334</v>
      </c>
      <c r="Q67" s="141">
        <v>116582201</v>
      </c>
      <c r="R67" s="141">
        <v>58188563</v>
      </c>
      <c r="S67" s="141">
        <v>48815225</v>
      </c>
      <c r="T67" s="141">
        <v>50168995</v>
      </c>
      <c r="U67" s="141">
        <v>48366068</v>
      </c>
      <c r="V67" s="141">
        <v>38267280</v>
      </c>
      <c r="W67" s="141">
        <v>18386317</v>
      </c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120"/>
      <c r="BC67" s="25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</row>
    <row r="68" spans="1:200" ht="15" customHeight="1" x14ac:dyDescent="0.2">
      <c r="A68" s="2"/>
      <c r="B68" s="24" t="str">
        <f t="shared" si="1"/>
        <v>[ROW:JAN_2021]</v>
      </c>
      <c r="C68" s="29">
        <f>IF(OR(Client_Info!$D$14="",Client_Info!$D$15=""),"",IF(EOMONTH(Client_Info!$D$14,60)&lt;=Client_Info!$D$15,EOMONTH(Client_Info!$D$14,60),""))</f>
        <v>44227</v>
      </c>
      <c r="D68" s="141">
        <v>81682395</v>
      </c>
      <c r="E68" s="141">
        <v>73707232</v>
      </c>
      <c r="F68" s="141">
        <v>56987085</v>
      </c>
      <c r="G68" s="141">
        <v>63423680</v>
      </c>
      <c r="H68" s="141">
        <v>55648738</v>
      </c>
      <c r="I68" s="141">
        <v>92971265</v>
      </c>
      <c r="J68" s="141">
        <v>114460922</v>
      </c>
      <c r="K68" s="141">
        <v>75469091</v>
      </c>
      <c r="L68" s="141">
        <v>64408207</v>
      </c>
      <c r="M68" s="141">
        <v>68023953</v>
      </c>
      <c r="N68" s="141">
        <v>28162672</v>
      </c>
      <c r="O68" s="141">
        <v>41365107</v>
      </c>
      <c r="P68" s="141">
        <v>49824816</v>
      </c>
      <c r="Q68" s="141">
        <v>115429014</v>
      </c>
      <c r="R68" s="141">
        <v>59368584</v>
      </c>
      <c r="S68" s="141">
        <v>49313676</v>
      </c>
      <c r="T68" s="141">
        <v>50868146</v>
      </c>
      <c r="U68" s="141">
        <v>48312182</v>
      </c>
      <c r="V68" s="141">
        <v>38805780</v>
      </c>
      <c r="W68" s="141">
        <v>18391134</v>
      </c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120"/>
      <c r="BC68" s="25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</row>
    <row r="69" spans="1:200" ht="15" customHeight="1" x14ac:dyDescent="0.2">
      <c r="A69" s="2"/>
      <c r="B69" s="24" t="str">
        <f t="shared" si="1"/>
        <v>[ROW:FEB_2021]</v>
      </c>
      <c r="C69" s="29">
        <f>IF(OR(Client_Info!$D$14="",Client_Info!$D$15=""),"",IF(EOMONTH(Client_Info!$D$14,61)&lt;=Client_Info!$D$15,EOMONTH(Client_Info!$D$14,61),""))</f>
        <v>44255</v>
      </c>
      <c r="D69" s="141">
        <v>82743433</v>
      </c>
      <c r="E69" s="141">
        <v>72842996</v>
      </c>
      <c r="F69" s="141">
        <v>56428083</v>
      </c>
      <c r="G69" s="141">
        <v>61883545</v>
      </c>
      <c r="H69" s="141">
        <v>54880632</v>
      </c>
      <c r="I69" s="141">
        <v>103183838</v>
      </c>
      <c r="J69" s="141">
        <v>114182367</v>
      </c>
      <c r="K69" s="141">
        <v>75933695</v>
      </c>
      <c r="L69" s="141">
        <v>64863633</v>
      </c>
      <c r="M69" s="141">
        <v>65205693</v>
      </c>
      <c r="N69" s="141">
        <v>26909588</v>
      </c>
      <c r="O69" s="141">
        <v>41719632</v>
      </c>
      <c r="P69" s="141">
        <v>49736967</v>
      </c>
      <c r="Q69" s="141">
        <v>119807592</v>
      </c>
      <c r="R69" s="141">
        <v>61036437</v>
      </c>
      <c r="S69" s="141">
        <v>48777825</v>
      </c>
      <c r="T69" s="141">
        <v>50718400</v>
      </c>
      <c r="U69" s="141">
        <v>48311575</v>
      </c>
      <c r="V69" s="141">
        <v>38517879</v>
      </c>
      <c r="W69" s="141">
        <v>18401365</v>
      </c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120"/>
      <c r="BC69" s="25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</row>
    <row r="70" spans="1:200" ht="15" customHeight="1" x14ac:dyDescent="0.2">
      <c r="A70" s="2"/>
      <c r="B70" s="24" t="str">
        <f t="shared" si="1"/>
        <v>[ROW:MAR_2021]</v>
      </c>
      <c r="C70" s="29">
        <f>IF(OR(Client_Info!$D$14="",Client_Info!$D$15=""),"",IF(EOMONTH(Client_Info!$D$14,62)&lt;=Client_Info!$D$15,EOMONTH(Client_Info!$D$14,62),""))</f>
        <v>44286</v>
      </c>
      <c r="D70" s="141">
        <v>80503020</v>
      </c>
      <c r="E70" s="141">
        <v>69513155</v>
      </c>
      <c r="F70" s="141">
        <v>53651358</v>
      </c>
      <c r="G70" s="141">
        <v>64645286</v>
      </c>
      <c r="H70" s="141">
        <v>57062467</v>
      </c>
      <c r="I70" s="141">
        <v>103384094</v>
      </c>
      <c r="J70" s="141">
        <v>113986725</v>
      </c>
      <c r="K70" s="141">
        <v>78047280</v>
      </c>
      <c r="L70" s="141">
        <v>64694031</v>
      </c>
      <c r="M70" s="141">
        <v>67788112</v>
      </c>
      <c r="N70" s="141">
        <v>27256187</v>
      </c>
      <c r="O70" s="141">
        <v>41497315</v>
      </c>
      <c r="P70" s="141">
        <v>50927915</v>
      </c>
      <c r="Q70" s="141">
        <v>121174650</v>
      </c>
      <c r="R70" s="141">
        <v>62736799</v>
      </c>
      <c r="S70" s="141">
        <v>50730521</v>
      </c>
      <c r="T70" s="141">
        <v>50098279</v>
      </c>
      <c r="U70" s="141">
        <v>48820594</v>
      </c>
      <c r="V70" s="141">
        <v>38243142</v>
      </c>
      <c r="W70" s="141">
        <v>18404924</v>
      </c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120"/>
      <c r="BC70" s="25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</row>
    <row r="71" spans="1:200" ht="15" customHeight="1" x14ac:dyDescent="0.2">
      <c r="A71" s="2"/>
      <c r="B71" s="24" t="str">
        <f t="shared" si="1"/>
        <v>[ROW:APR_2021]</v>
      </c>
      <c r="C71" s="29">
        <f>IF(OR(Client_Info!$D$14="",Client_Info!$D$15=""),"",IF(EOMONTH(Client_Info!$D$14,63)&lt;=Client_Info!$D$15,EOMONTH(Client_Info!$D$14,63),""))</f>
        <v>44316</v>
      </c>
      <c r="D71" s="141">
        <v>75647005</v>
      </c>
      <c r="E71" s="141">
        <v>67285399</v>
      </c>
      <c r="F71" s="141">
        <v>52347468</v>
      </c>
      <c r="G71" s="141">
        <v>66481766</v>
      </c>
      <c r="H71" s="141">
        <v>58428331</v>
      </c>
      <c r="I71" s="141">
        <v>107574960</v>
      </c>
      <c r="J71" s="141">
        <v>115175200</v>
      </c>
      <c r="K71" s="141">
        <v>78327697</v>
      </c>
      <c r="L71" s="141">
        <v>62106608</v>
      </c>
      <c r="M71" s="141">
        <v>70875175</v>
      </c>
      <c r="N71" s="141">
        <v>28011255</v>
      </c>
      <c r="O71" s="141">
        <v>42245345</v>
      </c>
      <c r="P71" s="141">
        <v>52788968</v>
      </c>
      <c r="Q71" s="141">
        <v>123312607</v>
      </c>
      <c r="R71" s="141">
        <v>61126736</v>
      </c>
      <c r="S71" s="141">
        <v>50702499</v>
      </c>
      <c r="T71" s="141">
        <v>49900852</v>
      </c>
      <c r="U71" s="141">
        <v>49398377</v>
      </c>
      <c r="V71" s="141">
        <v>39034403</v>
      </c>
      <c r="W71" s="141">
        <v>18408114</v>
      </c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120"/>
      <c r="BC71" s="25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</row>
    <row r="72" spans="1:200" ht="15" customHeight="1" x14ac:dyDescent="0.2">
      <c r="A72" s="2"/>
      <c r="B72" s="24" t="str">
        <f t="shared" ref="B72:B103" si="2">IF(C72="","","[ROW:"&amp;UPPER(TEXT(C72,"MMM"))&amp;"_"&amp;TEXT(C72,"YYYY")&amp;"]")</f>
        <v>[ROW:MAY_2021]</v>
      </c>
      <c r="C72" s="29">
        <f>IF(OR(Client_Info!$D$14="",Client_Info!$D$15=""),"",IF(EOMONTH(Client_Info!$D$14,64)&lt;=Client_Info!$D$15,EOMONTH(Client_Info!$D$14,64),""))</f>
        <v>44347</v>
      </c>
      <c r="D72" s="141">
        <v>80330409</v>
      </c>
      <c r="E72" s="141">
        <v>70891940</v>
      </c>
      <c r="F72" s="141">
        <v>53879455</v>
      </c>
      <c r="G72" s="141">
        <v>66314916</v>
      </c>
      <c r="H72" s="141">
        <v>57375571</v>
      </c>
      <c r="I72" s="141">
        <v>113383639</v>
      </c>
      <c r="J72" s="141">
        <v>116012696</v>
      </c>
      <c r="K72" s="141">
        <v>77658926</v>
      </c>
      <c r="L72" s="141">
        <v>61261201</v>
      </c>
      <c r="M72" s="141">
        <v>75694841</v>
      </c>
      <c r="N72" s="141">
        <v>28044439</v>
      </c>
      <c r="O72" s="141">
        <v>42257216</v>
      </c>
      <c r="P72" s="141">
        <v>55907945</v>
      </c>
      <c r="Q72" s="141">
        <v>119951309</v>
      </c>
      <c r="R72" s="141">
        <v>62877085</v>
      </c>
      <c r="S72" s="141">
        <v>52176272</v>
      </c>
      <c r="T72" s="141">
        <v>50315350</v>
      </c>
      <c r="U72" s="141">
        <v>49338311</v>
      </c>
      <c r="V72" s="141">
        <v>38570818</v>
      </c>
      <c r="W72" s="141">
        <v>18401576</v>
      </c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120"/>
      <c r="BC72" s="25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</row>
    <row r="73" spans="1:200" ht="15" customHeight="1" x14ac:dyDescent="0.2">
      <c r="A73" s="2"/>
      <c r="B73" s="24" t="str">
        <f t="shared" si="2"/>
        <v>[ROW:JUN_2021]</v>
      </c>
      <c r="C73" s="29">
        <f>IF(OR(Client_Info!$D$14="",Client_Info!$D$15=""),"",IF(EOMONTH(Client_Info!$D$14,65)&lt;=Client_Info!$D$15,EOMONTH(Client_Info!$D$14,65),""))</f>
        <v>44377</v>
      </c>
      <c r="D73" s="141">
        <v>84443067</v>
      </c>
      <c r="E73" s="141">
        <v>76290057</v>
      </c>
      <c r="F73" s="141">
        <v>58927252</v>
      </c>
      <c r="G73" s="141">
        <v>68027974</v>
      </c>
      <c r="H73" s="141">
        <v>58546623</v>
      </c>
      <c r="I73" s="141">
        <v>123796769</v>
      </c>
      <c r="J73" s="141">
        <v>115283154</v>
      </c>
      <c r="K73" s="141">
        <v>79151256</v>
      </c>
      <c r="L73" s="141">
        <v>63598350</v>
      </c>
      <c r="M73" s="141">
        <v>78842849</v>
      </c>
      <c r="N73" s="141">
        <v>30312097</v>
      </c>
      <c r="O73" s="141">
        <v>43228443</v>
      </c>
      <c r="P73" s="141">
        <v>58716114</v>
      </c>
      <c r="Q73" s="141">
        <v>123104563</v>
      </c>
      <c r="R73" s="141">
        <v>61988428</v>
      </c>
      <c r="S73" s="141">
        <v>51882971</v>
      </c>
      <c r="T73" s="141">
        <v>50126600</v>
      </c>
      <c r="U73" s="141">
        <v>49528659</v>
      </c>
      <c r="V73" s="141">
        <v>38712184</v>
      </c>
      <c r="W73" s="141">
        <v>18389135</v>
      </c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120"/>
      <c r="BC73" s="25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</row>
    <row r="74" spans="1:200" ht="15" customHeight="1" x14ac:dyDescent="0.2">
      <c r="A74" s="2"/>
      <c r="B74" s="24" t="str">
        <f t="shared" si="2"/>
        <v>[ROW:JUL_2021]</v>
      </c>
      <c r="C74" s="29">
        <f>IF(OR(Client_Info!$D$14="",Client_Info!$D$15=""),"",IF(EOMONTH(Client_Info!$D$14,66)&lt;=Client_Info!$D$15,EOMONTH(Client_Info!$D$14,66),""))</f>
        <v>44408</v>
      </c>
      <c r="D74" s="141">
        <v>86171731</v>
      </c>
      <c r="E74" s="141">
        <v>77466025</v>
      </c>
      <c r="F74" s="141">
        <v>58640425</v>
      </c>
      <c r="G74" s="141">
        <v>73052636</v>
      </c>
      <c r="H74" s="141">
        <v>61554839</v>
      </c>
      <c r="I74" s="141">
        <v>117205914</v>
      </c>
      <c r="J74" s="141">
        <v>115622376</v>
      </c>
      <c r="K74" s="141">
        <v>81325316</v>
      </c>
      <c r="L74" s="141">
        <v>66788155</v>
      </c>
      <c r="M74" s="141">
        <v>84332672</v>
      </c>
      <c r="N74" s="141">
        <v>34039359</v>
      </c>
      <c r="O74" s="141">
        <v>42258472</v>
      </c>
      <c r="P74" s="141">
        <v>60411476</v>
      </c>
      <c r="Q74" s="141">
        <v>121449697</v>
      </c>
      <c r="R74" s="141">
        <v>62845342</v>
      </c>
      <c r="S74" s="141">
        <v>53533762</v>
      </c>
      <c r="T74" s="141">
        <v>50980303</v>
      </c>
      <c r="U74" s="141">
        <v>50494463</v>
      </c>
      <c r="V74" s="141">
        <v>39079973</v>
      </c>
      <c r="W74" s="141">
        <v>18392729</v>
      </c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120"/>
      <c r="BC74" s="25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</row>
    <row r="75" spans="1:200" ht="15" customHeight="1" x14ac:dyDescent="0.2">
      <c r="A75" s="2"/>
      <c r="B75" s="24" t="str">
        <f t="shared" si="2"/>
        <v>[ROW:AUG_2021]</v>
      </c>
      <c r="C75" s="29">
        <f>IF(OR(Client_Info!$D$14="",Client_Info!$D$15=""),"",IF(EOMONTH(Client_Info!$D$14,67)&lt;=Client_Info!$D$15,EOMONTH(Client_Info!$D$14,67),""))</f>
        <v>44439</v>
      </c>
      <c r="D75" s="141">
        <v>92042696</v>
      </c>
      <c r="E75" s="141">
        <v>82000834</v>
      </c>
      <c r="F75" s="141">
        <v>62388641</v>
      </c>
      <c r="G75" s="141">
        <v>71225748</v>
      </c>
      <c r="H75" s="141">
        <v>59828724</v>
      </c>
      <c r="I75" s="141">
        <v>122376164</v>
      </c>
      <c r="J75" s="141">
        <v>117502945</v>
      </c>
      <c r="K75" s="141">
        <v>82928142</v>
      </c>
      <c r="L75" s="141">
        <v>67969918</v>
      </c>
      <c r="M75" s="141">
        <v>80679785</v>
      </c>
      <c r="N75" s="141">
        <v>35355623</v>
      </c>
      <c r="O75" s="141">
        <v>43358031</v>
      </c>
      <c r="P75" s="141">
        <v>61634733</v>
      </c>
      <c r="Q75" s="141">
        <v>121234032</v>
      </c>
      <c r="R75" s="141">
        <v>63558316</v>
      </c>
      <c r="S75" s="141">
        <v>55350667</v>
      </c>
      <c r="T75" s="141">
        <v>51470449</v>
      </c>
      <c r="U75" s="141">
        <v>50605271</v>
      </c>
      <c r="V75" s="141">
        <v>39354947</v>
      </c>
      <c r="W75" s="141">
        <v>18393758</v>
      </c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120"/>
      <c r="BC75" s="25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</row>
    <row r="76" spans="1:200" ht="15" customHeight="1" x14ac:dyDescent="0.2">
      <c r="A76" s="2"/>
      <c r="B76" s="24" t="str">
        <f t="shared" si="2"/>
        <v>[ROW:SEP_2021]</v>
      </c>
      <c r="C76" s="29">
        <f>IF(OR(Client_Info!$D$14="",Client_Info!$D$15=""),"",IF(EOMONTH(Client_Info!$D$14,68)&lt;=Client_Info!$D$15,EOMONTH(Client_Info!$D$14,68),""))</f>
        <v>44469</v>
      </c>
      <c r="D76" s="141">
        <v>93398353</v>
      </c>
      <c r="E76" s="141">
        <v>83509392</v>
      </c>
      <c r="F76" s="141">
        <v>63771554</v>
      </c>
      <c r="G76" s="141">
        <v>71680956</v>
      </c>
      <c r="H76" s="141">
        <v>61844992</v>
      </c>
      <c r="I76" s="141">
        <v>131282336</v>
      </c>
      <c r="J76" s="141">
        <v>112506625</v>
      </c>
      <c r="K76" s="141">
        <v>80095928</v>
      </c>
      <c r="L76" s="141">
        <v>67271807</v>
      </c>
      <c r="M76" s="141">
        <v>80074668</v>
      </c>
      <c r="N76" s="141">
        <v>35380315</v>
      </c>
      <c r="O76" s="141">
        <v>44435378</v>
      </c>
      <c r="P76" s="141">
        <v>63217448</v>
      </c>
      <c r="Q76" s="141">
        <v>127540294</v>
      </c>
      <c r="R76" s="141">
        <v>62099608</v>
      </c>
      <c r="S76" s="141">
        <v>55539075</v>
      </c>
      <c r="T76" s="141">
        <v>51925391</v>
      </c>
      <c r="U76" s="141">
        <v>50970951</v>
      </c>
      <c r="V76" s="141">
        <v>39912538</v>
      </c>
      <c r="W76" s="141">
        <v>18392558</v>
      </c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120"/>
      <c r="BC76" s="25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</row>
    <row r="77" spans="1:200" ht="15" customHeight="1" x14ac:dyDescent="0.2">
      <c r="A77" s="2"/>
      <c r="B77" s="24" t="str">
        <f t="shared" si="2"/>
        <v>[ROW:OCT_2021]</v>
      </c>
      <c r="C77" s="29">
        <f>IF(OR(Client_Info!$D$14="",Client_Info!$D$15=""),"",IF(EOMONTH(Client_Info!$D$14,69)&lt;=Client_Info!$D$15,EOMONTH(Client_Info!$D$14,69),""))</f>
        <v>44500</v>
      </c>
      <c r="D77" s="141">
        <v>91435913</v>
      </c>
      <c r="E77" s="141">
        <v>82014143</v>
      </c>
      <c r="F77" s="141">
        <v>63262769</v>
      </c>
      <c r="G77" s="141">
        <v>72347272</v>
      </c>
      <c r="H77" s="141">
        <v>61378128</v>
      </c>
      <c r="I77" s="141">
        <v>119927556</v>
      </c>
      <c r="J77" s="141">
        <v>115369745</v>
      </c>
      <c r="K77" s="141">
        <v>83996439</v>
      </c>
      <c r="L77" s="141">
        <v>68503507</v>
      </c>
      <c r="M77" s="141">
        <v>72871165</v>
      </c>
      <c r="N77" s="141">
        <v>34534884</v>
      </c>
      <c r="O77" s="141">
        <v>46798855</v>
      </c>
      <c r="P77" s="141">
        <v>63030371</v>
      </c>
      <c r="Q77" s="141">
        <v>128435083</v>
      </c>
      <c r="R77" s="141">
        <v>63759282</v>
      </c>
      <c r="S77" s="141">
        <v>55406865</v>
      </c>
      <c r="T77" s="141">
        <v>53721893</v>
      </c>
      <c r="U77" s="141">
        <v>51524943</v>
      </c>
      <c r="V77" s="141">
        <v>40668489</v>
      </c>
      <c r="W77" s="141">
        <v>18395384</v>
      </c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120"/>
      <c r="BC77" s="25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</row>
    <row r="78" spans="1:200" ht="15" customHeight="1" x14ac:dyDescent="0.2">
      <c r="A78" s="2"/>
      <c r="B78" s="24" t="str">
        <f t="shared" si="2"/>
        <v>[ROW:NOV_2021]</v>
      </c>
      <c r="C78" s="29">
        <f>IF(OR(Client_Info!$D$14="",Client_Info!$D$15=""),"",IF(EOMONTH(Client_Info!$D$14,70)&lt;=Client_Info!$D$15,EOMONTH(Client_Info!$D$14,70),""))</f>
        <v>44530</v>
      </c>
      <c r="D78" s="141">
        <v>92766120</v>
      </c>
      <c r="E78" s="141">
        <v>84644700</v>
      </c>
      <c r="F78" s="141">
        <v>64467626</v>
      </c>
      <c r="G78" s="141">
        <v>71560888</v>
      </c>
      <c r="H78" s="141">
        <v>61776783</v>
      </c>
      <c r="I78" s="141">
        <v>115360697</v>
      </c>
      <c r="J78" s="141">
        <v>121991301</v>
      </c>
      <c r="K78" s="141">
        <v>85989800</v>
      </c>
      <c r="L78" s="141">
        <v>68551271</v>
      </c>
      <c r="M78" s="141">
        <v>76409716</v>
      </c>
      <c r="N78" s="141">
        <v>33318360</v>
      </c>
      <c r="O78" s="141">
        <v>46742638</v>
      </c>
      <c r="P78" s="141">
        <v>61752064</v>
      </c>
      <c r="Q78" s="141">
        <v>127495655</v>
      </c>
      <c r="R78" s="141">
        <v>64847302</v>
      </c>
      <c r="S78" s="141">
        <v>56687296</v>
      </c>
      <c r="T78" s="141">
        <v>53622145</v>
      </c>
      <c r="U78" s="141">
        <v>49729684</v>
      </c>
      <c r="V78" s="141">
        <v>39713341</v>
      </c>
      <c r="W78" s="141">
        <v>18396596</v>
      </c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120"/>
      <c r="BC78" s="25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</row>
    <row r="79" spans="1:200" ht="15" customHeight="1" x14ac:dyDescent="0.2">
      <c r="A79" s="2"/>
      <c r="B79" s="24" t="str">
        <f t="shared" si="2"/>
        <v>[ROW:DEC_2021]</v>
      </c>
      <c r="C79" s="29">
        <f>IF(OR(Client_Info!$D$14="",Client_Info!$D$15=""),"",IF(EOMONTH(Client_Info!$D$14,71)&lt;=Client_Info!$D$15,EOMONTH(Client_Info!$D$14,71),""))</f>
        <v>44561</v>
      </c>
      <c r="D79" s="141">
        <v>99796299</v>
      </c>
      <c r="E79" s="141">
        <v>91969329</v>
      </c>
      <c r="F79" s="141">
        <v>69334882</v>
      </c>
      <c r="G79" s="141">
        <v>75809403</v>
      </c>
      <c r="H79" s="141">
        <v>65188336</v>
      </c>
      <c r="I79" s="141">
        <v>107986220</v>
      </c>
      <c r="J79" s="141">
        <v>116978224</v>
      </c>
      <c r="K79" s="141">
        <v>85003336</v>
      </c>
      <c r="L79" s="141">
        <v>64939491</v>
      </c>
      <c r="M79" s="141">
        <v>80619548</v>
      </c>
      <c r="N79" s="141">
        <v>36204747</v>
      </c>
      <c r="O79" s="141">
        <v>47576483</v>
      </c>
      <c r="P79" s="141">
        <v>60676669</v>
      </c>
      <c r="Q79" s="141">
        <v>125084317</v>
      </c>
      <c r="R79" s="141">
        <v>64442254</v>
      </c>
      <c r="S79" s="141">
        <v>56963589</v>
      </c>
      <c r="T79" s="141">
        <v>53645857</v>
      </c>
      <c r="U79" s="141">
        <v>50290322</v>
      </c>
      <c r="V79" s="141">
        <v>39808686</v>
      </c>
      <c r="W79" s="141">
        <v>18404118</v>
      </c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120"/>
      <c r="BC79" s="25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</row>
    <row r="80" spans="1:200" ht="15" customHeight="1" x14ac:dyDescent="0.2">
      <c r="A80" s="2"/>
      <c r="B80" s="24" t="str">
        <f t="shared" si="2"/>
        <v>[ROW:JAN_2022]</v>
      </c>
      <c r="C80" s="29">
        <f>IF(OR(Client_Info!$D$14="",Client_Info!$D$15=""),"",IF(EOMONTH(Client_Info!$D$14,72)&lt;=Client_Info!$D$15,EOMONTH(Client_Info!$D$14,72),""))</f>
        <v>44592</v>
      </c>
      <c r="D80" s="141">
        <v>94617849</v>
      </c>
      <c r="E80" s="141">
        <v>88453517</v>
      </c>
      <c r="F80" s="141">
        <v>65995757</v>
      </c>
      <c r="G80" s="141">
        <v>69599441</v>
      </c>
      <c r="H80" s="141">
        <v>61700099</v>
      </c>
      <c r="I80" s="141">
        <v>104736404</v>
      </c>
      <c r="J80" s="141">
        <v>113872776</v>
      </c>
      <c r="K80" s="141">
        <v>83387656</v>
      </c>
      <c r="L80" s="141">
        <v>65260477</v>
      </c>
      <c r="M80" s="141">
        <v>82721672</v>
      </c>
      <c r="N80" s="141">
        <v>36733766</v>
      </c>
      <c r="O80" s="141">
        <v>49303947</v>
      </c>
      <c r="P80" s="141">
        <v>61646595</v>
      </c>
      <c r="Q80" s="141">
        <v>125308150</v>
      </c>
      <c r="R80" s="141">
        <v>63921447</v>
      </c>
      <c r="S80" s="141">
        <v>58128245</v>
      </c>
      <c r="T80" s="141">
        <v>53656600</v>
      </c>
      <c r="U80" s="141">
        <v>49525296</v>
      </c>
      <c r="V80" s="141">
        <v>38774476</v>
      </c>
      <c r="W80" s="141">
        <v>18406109</v>
      </c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120"/>
      <c r="BC80" s="25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</row>
    <row r="81" spans="1:200" ht="15" customHeight="1" x14ac:dyDescent="0.2">
      <c r="A81" s="2"/>
      <c r="B81" s="24" t="str">
        <f t="shared" si="2"/>
        <v>[ROW:FEB_2022]</v>
      </c>
      <c r="C81" s="29">
        <f>IF(OR(Client_Info!$D$14="",Client_Info!$D$15=""),"",IF(EOMONTH(Client_Info!$D$14,73)&lt;=Client_Info!$D$15,EOMONTH(Client_Info!$D$14,73),""))</f>
        <v>44620</v>
      </c>
      <c r="D81" s="141">
        <v>92788830</v>
      </c>
      <c r="E81" s="141">
        <v>86085635</v>
      </c>
      <c r="F81" s="141">
        <v>63143728</v>
      </c>
      <c r="G81" s="141">
        <v>69678795</v>
      </c>
      <c r="H81" s="141">
        <v>60205860</v>
      </c>
      <c r="I81" s="141">
        <v>98590088</v>
      </c>
      <c r="J81" s="141">
        <v>111916966</v>
      </c>
      <c r="K81" s="141">
        <v>80152691</v>
      </c>
      <c r="L81" s="141">
        <v>63658309</v>
      </c>
      <c r="M81" s="141">
        <v>82788560</v>
      </c>
      <c r="N81" s="141">
        <v>37043435</v>
      </c>
      <c r="O81" s="141">
        <v>50199617</v>
      </c>
      <c r="P81" s="141">
        <v>60981315</v>
      </c>
      <c r="Q81" s="141">
        <v>122206599</v>
      </c>
      <c r="R81" s="141">
        <v>66261239</v>
      </c>
      <c r="S81" s="141">
        <v>59059717</v>
      </c>
      <c r="T81" s="141">
        <v>52723666</v>
      </c>
      <c r="U81" s="141">
        <v>48126601</v>
      </c>
      <c r="V81" s="141">
        <v>37195395</v>
      </c>
      <c r="W81" s="141">
        <v>18409113</v>
      </c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120"/>
      <c r="BC81" s="25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</row>
    <row r="82" spans="1:200" ht="15" customHeight="1" x14ac:dyDescent="0.2">
      <c r="A82" s="2"/>
      <c r="B82" s="24" t="str">
        <f t="shared" si="2"/>
        <v>[ROW:MAR_2022]</v>
      </c>
      <c r="C82" s="29">
        <f>IF(OR(Client_Info!$D$14="",Client_Info!$D$15=""),"",IF(EOMONTH(Client_Info!$D$14,74)&lt;=Client_Info!$D$15,EOMONTH(Client_Info!$D$14,74),""))</f>
        <v>44651</v>
      </c>
      <c r="D82" s="141">
        <v>97594995</v>
      </c>
      <c r="E82" s="141">
        <v>89477108</v>
      </c>
      <c r="F82" s="141">
        <v>66107877</v>
      </c>
      <c r="G82" s="141">
        <v>69459162</v>
      </c>
      <c r="H82" s="141">
        <v>61520055</v>
      </c>
      <c r="I82" s="141">
        <v>97173866</v>
      </c>
      <c r="J82" s="141">
        <v>109128944</v>
      </c>
      <c r="K82" s="141">
        <v>77370039</v>
      </c>
      <c r="L82" s="141">
        <v>60770880</v>
      </c>
      <c r="M82" s="141">
        <v>78186066</v>
      </c>
      <c r="N82" s="141">
        <v>34872931</v>
      </c>
      <c r="O82" s="141">
        <v>49610165</v>
      </c>
      <c r="P82" s="141">
        <v>61114420</v>
      </c>
      <c r="Q82" s="141">
        <v>132567328</v>
      </c>
      <c r="R82" s="141">
        <v>66280161</v>
      </c>
      <c r="S82" s="141">
        <v>58974872</v>
      </c>
      <c r="T82" s="141">
        <v>53006451</v>
      </c>
      <c r="U82" s="141">
        <v>48074900</v>
      </c>
      <c r="V82" s="141">
        <v>37232356</v>
      </c>
      <c r="W82" s="141">
        <v>18426787</v>
      </c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120"/>
      <c r="BC82" s="25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</row>
    <row r="83" spans="1:200" ht="15" customHeight="1" x14ac:dyDescent="0.2">
      <c r="A83" s="2"/>
      <c r="B83" s="24" t="str">
        <f t="shared" si="2"/>
        <v>[ROW:APR_2022]</v>
      </c>
      <c r="C83" s="29">
        <f>IF(OR(Client_Info!$D$14="",Client_Info!$D$15=""),"",IF(EOMONTH(Client_Info!$D$14,75)&lt;=Client_Info!$D$15,EOMONTH(Client_Info!$D$14,75),""))</f>
        <v>44681</v>
      </c>
      <c r="D83" s="141">
        <v>91522892</v>
      </c>
      <c r="E83" s="141">
        <v>83326188</v>
      </c>
      <c r="F83" s="141">
        <v>60412181</v>
      </c>
      <c r="G83" s="141">
        <v>65241010</v>
      </c>
      <c r="H83" s="141">
        <v>57350405</v>
      </c>
      <c r="I83" s="141">
        <v>92476953</v>
      </c>
      <c r="J83" s="141">
        <v>100652941</v>
      </c>
      <c r="K83" s="141">
        <v>71994347</v>
      </c>
      <c r="L83" s="141">
        <v>57997019</v>
      </c>
      <c r="M83" s="141">
        <v>85392647</v>
      </c>
      <c r="N83" s="141">
        <v>38350099</v>
      </c>
      <c r="O83" s="141">
        <v>49044446</v>
      </c>
      <c r="P83" s="141">
        <v>61751032</v>
      </c>
      <c r="Q83" s="141">
        <v>138694497</v>
      </c>
      <c r="R83" s="141">
        <v>66798605</v>
      </c>
      <c r="S83" s="141">
        <v>59452005</v>
      </c>
      <c r="T83" s="141">
        <v>53113752</v>
      </c>
      <c r="U83" s="141">
        <v>47354689</v>
      </c>
      <c r="V83" s="141">
        <v>36904346</v>
      </c>
      <c r="W83" s="141">
        <v>18443500</v>
      </c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120"/>
      <c r="BC83" s="25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</row>
    <row r="84" spans="1:200" ht="15" customHeight="1" x14ac:dyDescent="0.2">
      <c r="A84" s="2"/>
      <c r="B84" s="24" t="str">
        <f t="shared" si="2"/>
        <v>[ROW:MAY_2022]</v>
      </c>
      <c r="C84" s="29">
        <f>IF(OR(Client_Info!$D$14="",Client_Info!$D$15=""),"",IF(EOMONTH(Client_Info!$D$14,76)&lt;=Client_Info!$D$15,EOMONTH(Client_Info!$D$14,76),""))</f>
        <v>44712</v>
      </c>
      <c r="D84" s="141">
        <v>91538937</v>
      </c>
      <c r="E84" s="141">
        <v>83572174</v>
      </c>
      <c r="F84" s="141">
        <v>60590424</v>
      </c>
      <c r="G84" s="141">
        <v>64979924</v>
      </c>
      <c r="H84" s="141">
        <v>56825780</v>
      </c>
      <c r="I84" s="141">
        <v>92746776</v>
      </c>
      <c r="J84" s="141">
        <v>99028646</v>
      </c>
      <c r="K84" s="141">
        <v>72209073</v>
      </c>
      <c r="L84" s="141">
        <v>59853783</v>
      </c>
      <c r="M84" s="141">
        <v>90795371</v>
      </c>
      <c r="N84" s="141">
        <v>40582509</v>
      </c>
      <c r="O84" s="141">
        <v>50139726</v>
      </c>
      <c r="P84" s="141">
        <v>61092152</v>
      </c>
      <c r="Q84" s="141">
        <v>138908835</v>
      </c>
      <c r="R84" s="141">
        <v>70489278</v>
      </c>
      <c r="S84" s="141">
        <v>58618752</v>
      </c>
      <c r="T84" s="141">
        <v>54298329</v>
      </c>
      <c r="U84" s="141">
        <v>46646171</v>
      </c>
      <c r="V84" s="141">
        <v>36485528</v>
      </c>
      <c r="W84" s="141">
        <v>18469637</v>
      </c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120"/>
      <c r="BC84" s="25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</row>
    <row r="85" spans="1:200" ht="15" customHeight="1" x14ac:dyDescent="0.2">
      <c r="A85" s="2"/>
      <c r="B85" s="24" t="str">
        <f t="shared" si="2"/>
        <v>[ROW:JUN_2022]</v>
      </c>
      <c r="C85" s="29">
        <f>IF(OR(Client_Info!$D$14="",Client_Info!$D$15=""),"",IF(EOMONTH(Client_Info!$D$14,77)&lt;=Client_Info!$D$15,EOMONTH(Client_Info!$D$14,77),""))</f>
        <v>44742</v>
      </c>
      <c r="D85" s="141">
        <v>87808797</v>
      </c>
      <c r="E85" s="141">
        <v>79699210</v>
      </c>
      <c r="F85" s="141">
        <v>57372939</v>
      </c>
      <c r="G85" s="141">
        <v>61069315</v>
      </c>
      <c r="H85" s="141">
        <v>54043140</v>
      </c>
      <c r="I85" s="141">
        <v>88315892</v>
      </c>
      <c r="J85" s="141">
        <v>105310301</v>
      </c>
      <c r="K85" s="141">
        <v>77417781</v>
      </c>
      <c r="L85" s="141">
        <v>65348121</v>
      </c>
      <c r="M85" s="141">
        <v>93957820</v>
      </c>
      <c r="N85" s="141">
        <v>42847709</v>
      </c>
      <c r="O85" s="141">
        <v>49512647</v>
      </c>
      <c r="P85" s="141">
        <v>60048371</v>
      </c>
      <c r="Q85" s="141">
        <v>144105627</v>
      </c>
      <c r="R85" s="141">
        <v>71505894</v>
      </c>
      <c r="S85" s="141">
        <v>57963654</v>
      </c>
      <c r="T85" s="141">
        <v>55132936</v>
      </c>
      <c r="U85" s="141">
        <v>45843435</v>
      </c>
      <c r="V85" s="141">
        <v>35733480</v>
      </c>
      <c r="W85" s="141">
        <v>18495916</v>
      </c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120"/>
      <c r="BC85" s="25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</row>
    <row r="86" spans="1:200" ht="15" customHeight="1" x14ac:dyDescent="0.2">
      <c r="A86" s="2"/>
      <c r="B86" s="24" t="str">
        <f t="shared" si="2"/>
        <v>[ROW:JUL_2022]</v>
      </c>
      <c r="C86" s="29">
        <f>IF(OR(Client_Info!$D$14="",Client_Info!$D$15=""),"",IF(EOMONTH(Client_Info!$D$14,78)&lt;=Client_Info!$D$15,EOMONTH(Client_Info!$D$14,78),""))</f>
        <v>44773</v>
      </c>
      <c r="D86" s="141">
        <v>78345467</v>
      </c>
      <c r="E86" s="141">
        <v>72494063</v>
      </c>
      <c r="F86" s="141">
        <v>50159204</v>
      </c>
      <c r="G86" s="141">
        <v>55336939</v>
      </c>
      <c r="H86" s="141">
        <v>48186858</v>
      </c>
      <c r="I86" s="141">
        <v>76122019</v>
      </c>
      <c r="J86" s="141">
        <v>115495021</v>
      </c>
      <c r="K86" s="141">
        <v>82601595</v>
      </c>
      <c r="L86" s="141">
        <v>73185170</v>
      </c>
      <c r="M86" s="141">
        <v>99475879</v>
      </c>
      <c r="N86" s="141">
        <v>44092581</v>
      </c>
      <c r="O86" s="141">
        <v>49395262</v>
      </c>
      <c r="P86" s="141">
        <v>60358358</v>
      </c>
      <c r="Q86" s="141">
        <v>145238119</v>
      </c>
      <c r="R86" s="141">
        <v>72044108</v>
      </c>
      <c r="S86" s="141">
        <v>60031245</v>
      </c>
      <c r="T86" s="141">
        <v>54351204</v>
      </c>
      <c r="U86" s="141">
        <v>44217301</v>
      </c>
      <c r="V86" s="141">
        <v>34323362</v>
      </c>
      <c r="W86" s="141">
        <v>18526776</v>
      </c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120"/>
      <c r="BC86" s="25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</row>
    <row r="87" spans="1:200" ht="15" customHeight="1" x14ac:dyDescent="0.2">
      <c r="A87" s="2"/>
      <c r="B87" s="24" t="str">
        <f t="shared" si="2"/>
        <v>[ROW:AUG_2022]</v>
      </c>
      <c r="C87" s="29">
        <f>IF(OR(Client_Info!$D$14="",Client_Info!$D$15=""),"",IF(EOMONTH(Client_Info!$D$14,79)&lt;=Client_Info!$D$15,EOMONTH(Client_Info!$D$14,79),""))</f>
        <v>44804</v>
      </c>
      <c r="D87" s="141">
        <v>74221462</v>
      </c>
      <c r="E87" s="141">
        <v>68576004</v>
      </c>
      <c r="F87" s="141">
        <v>47826438</v>
      </c>
      <c r="G87" s="141">
        <v>54161486</v>
      </c>
      <c r="H87" s="141">
        <v>46920132</v>
      </c>
      <c r="I87" s="141">
        <v>74694839</v>
      </c>
      <c r="J87" s="141">
        <v>122441585</v>
      </c>
      <c r="K87" s="141">
        <v>88386399</v>
      </c>
      <c r="L87" s="141">
        <v>77914308</v>
      </c>
      <c r="M87" s="141">
        <v>99208165</v>
      </c>
      <c r="N87" s="141">
        <v>44781987</v>
      </c>
      <c r="O87" s="141">
        <v>50105277</v>
      </c>
      <c r="P87" s="141">
        <v>62076643</v>
      </c>
      <c r="Q87" s="141">
        <v>145974232</v>
      </c>
      <c r="R87" s="141">
        <v>70727625</v>
      </c>
      <c r="S87" s="141">
        <v>59679173</v>
      </c>
      <c r="T87" s="141">
        <v>55376347</v>
      </c>
      <c r="U87" s="141">
        <v>43118916</v>
      </c>
      <c r="V87" s="141">
        <v>33351646</v>
      </c>
      <c r="W87" s="141">
        <v>18567087</v>
      </c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120"/>
      <c r="BC87" s="25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</row>
    <row r="88" spans="1:200" ht="15" customHeight="1" x14ac:dyDescent="0.2">
      <c r="A88" s="2"/>
      <c r="B88" s="24" t="str">
        <f t="shared" si="2"/>
        <v>[ROW:SEP_2022]</v>
      </c>
      <c r="C88" s="29">
        <f>IF(OR(Client_Info!$D$14="",Client_Info!$D$15=""),"",IF(EOMONTH(Client_Info!$D$14,80)&lt;=Client_Info!$D$15,EOMONTH(Client_Info!$D$14,80),""))</f>
        <v>44834</v>
      </c>
      <c r="D88" s="141">
        <v>81109793</v>
      </c>
      <c r="E88" s="141">
        <v>73791859</v>
      </c>
      <c r="F88" s="141">
        <v>53377801</v>
      </c>
      <c r="G88" s="141">
        <v>57522536</v>
      </c>
      <c r="H88" s="141">
        <v>49227803</v>
      </c>
      <c r="I88" s="141">
        <v>77122806</v>
      </c>
      <c r="J88" s="141">
        <v>122754767</v>
      </c>
      <c r="K88" s="141">
        <v>93941469</v>
      </c>
      <c r="L88" s="141">
        <v>81046548</v>
      </c>
      <c r="M88" s="141">
        <v>101351893</v>
      </c>
      <c r="N88" s="141">
        <v>48454006</v>
      </c>
      <c r="O88" s="141">
        <v>51188492</v>
      </c>
      <c r="P88" s="141">
        <v>64471480</v>
      </c>
      <c r="Q88" s="141">
        <v>139011145</v>
      </c>
      <c r="R88" s="141">
        <v>71541440</v>
      </c>
      <c r="S88" s="141">
        <v>58279402</v>
      </c>
      <c r="T88" s="141">
        <v>55837308</v>
      </c>
      <c r="U88" s="141">
        <v>44776892</v>
      </c>
      <c r="V88" s="141">
        <v>34413858</v>
      </c>
      <c r="W88" s="141">
        <v>18612588</v>
      </c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120"/>
      <c r="BC88" s="25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</row>
    <row r="89" spans="1:200" ht="15" customHeight="1" x14ac:dyDescent="0.2">
      <c r="A89" s="2"/>
      <c r="B89" s="24" t="str">
        <f t="shared" si="2"/>
        <v>[ROW:OCT_2022]</v>
      </c>
      <c r="C89" s="29">
        <f>IF(OR(Client_Info!$D$14="",Client_Info!$D$15=""),"",IF(EOMONTH(Client_Info!$D$14,81)&lt;=Client_Info!$D$15,EOMONTH(Client_Info!$D$14,81),""))</f>
        <v>44865</v>
      </c>
      <c r="D89" s="141">
        <v>84823424</v>
      </c>
      <c r="E89" s="141">
        <v>75764134</v>
      </c>
      <c r="F89" s="141">
        <v>55408197</v>
      </c>
      <c r="G89" s="141">
        <v>59629848</v>
      </c>
      <c r="H89" s="141">
        <v>49964715</v>
      </c>
      <c r="I89" s="141">
        <v>79516303</v>
      </c>
      <c r="J89" s="141">
        <v>122161640</v>
      </c>
      <c r="K89" s="141">
        <v>91754322</v>
      </c>
      <c r="L89" s="141">
        <v>77233628</v>
      </c>
      <c r="M89" s="141">
        <v>100514687</v>
      </c>
      <c r="N89" s="141">
        <v>48898344</v>
      </c>
      <c r="O89" s="141">
        <v>51195800</v>
      </c>
      <c r="P89" s="141">
        <v>65768849</v>
      </c>
      <c r="Q89" s="141">
        <v>145929748</v>
      </c>
      <c r="R89" s="141">
        <v>70988391</v>
      </c>
      <c r="S89" s="141">
        <v>58733117</v>
      </c>
      <c r="T89" s="141">
        <v>55787765</v>
      </c>
      <c r="U89" s="141">
        <v>45316020</v>
      </c>
      <c r="V89" s="141">
        <v>34955572</v>
      </c>
      <c r="W89" s="141">
        <v>18666210</v>
      </c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120"/>
      <c r="BC89" s="25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</row>
    <row r="90" spans="1:200" ht="15" customHeight="1" x14ac:dyDescent="0.2">
      <c r="A90" s="2"/>
      <c r="B90" s="24" t="str">
        <f t="shared" si="2"/>
        <v>[ROW:NOV_2022]</v>
      </c>
      <c r="C90" s="29">
        <f>IF(OR(Client_Info!$D$14="",Client_Info!$D$15=""),"",IF(EOMONTH(Client_Info!$D$14,82)&lt;=Client_Info!$D$15,EOMONTH(Client_Info!$D$14,82),""))</f>
        <v>44895</v>
      </c>
      <c r="D90" s="141">
        <v>90032289</v>
      </c>
      <c r="E90" s="141">
        <v>81159648</v>
      </c>
      <c r="F90" s="141">
        <v>59561966</v>
      </c>
      <c r="G90" s="141">
        <v>59366720</v>
      </c>
      <c r="H90" s="141">
        <v>47772962</v>
      </c>
      <c r="I90" s="141">
        <v>73890422</v>
      </c>
      <c r="J90" s="141">
        <v>119722918</v>
      </c>
      <c r="K90" s="141">
        <v>89491756</v>
      </c>
      <c r="L90" s="141">
        <v>78782408</v>
      </c>
      <c r="M90" s="141">
        <v>99690409</v>
      </c>
      <c r="N90" s="141">
        <v>45667552</v>
      </c>
      <c r="O90" s="141">
        <v>51768452</v>
      </c>
      <c r="P90" s="141">
        <v>66930950</v>
      </c>
      <c r="Q90" s="141">
        <v>142697564</v>
      </c>
      <c r="R90" s="141">
        <v>70029291</v>
      </c>
      <c r="S90" s="141">
        <v>60128668</v>
      </c>
      <c r="T90" s="141">
        <v>55402428</v>
      </c>
      <c r="U90" s="141">
        <v>45400804</v>
      </c>
      <c r="V90" s="141">
        <v>34756035</v>
      </c>
      <c r="W90" s="141">
        <v>18721468</v>
      </c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120"/>
      <c r="BC90" s="25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</row>
    <row r="91" spans="1:200" ht="15" customHeight="1" x14ac:dyDescent="0.2">
      <c r="A91" s="2"/>
      <c r="B91" s="24" t="str">
        <f t="shared" si="2"/>
        <v>[ROW:DEC_2022]</v>
      </c>
      <c r="C91" s="29">
        <f>IF(OR(Client_Info!$D$14="",Client_Info!$D$15=""),"",IF(EOMONTH(Client_Info!$D$14,83)&lt;=Client_Info!$D$15,EOMONTH(Client_Info!$D$14,83),""))</f>
        <v>44926</v>
      </c>
      <c r="D91" s="141">
        <v>88446255</v>
      </c>
      <c r="E91" s="141">
        <v>80257636</v>
      </c>
      <c r="F91" s="141">
        <v>58669355</v>
      </c>
      <c r="G91" s="141">
        <v>63660943</v>
      </c>
      <c r="H91" s="141">
        <v>52568811</v>
      </c>
      <c r="I91" s="141">
        <v>73315563</v>
      </c>
      <c r="J91" s="141">
        <v>117940563</v>
      </c>
      <c r="K91" s="141">
        <v>91880076</v>
      </c>
      <c r="L91" s="141">
        <v>77308180</v>
      </c>
      <c r="M91" s="141">
        <v>96043748</v>
      </c>
      <c r="N91" s="141">
        <v>43394215</v>
      </c>
      <c r="O91" s="141">
        <v>52481102</v>
      </c>
      <c r="P91" s="141">
        <v>67781997</v>
      </c>
      <c r="Q91" s="141">
        <v>142271892</v>
      </c>
      <c r="R91" s="141">
        <v>72805697</v>
      </c>
      <c r="S91" s="141">
        <v>61881676</v>
      </c>
      <c r="T91" s="141">
        <v>55211419</v>
      </c>
      <c r="U91" s="141">
        <v>44357666</v>
      </c>
      <c r="V91" s="141">
        <v>34268829</v>
      </c>
      <c r="W91" s="141">
        <v>18773949</v>
      </c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120"/>
      <c r="BC91" s="25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</row>
    <row r="92" spans="1:200" ht="15" customHeight="1" x14ac:dyDescent="0.2">
      <c r="A92" s="2"/>
      <c r="B92" s="24" t="str">
        <f t="shared" si="2"/>
        <v>[ROW:JAN_2023]</v>
      </c>
      <c r="C92" s="29">
        <f>IF(OR(Client_Info!$D$14="",Client_Info!$D$15=""),"",IF(EOMONTH(Client_Info!$D$14,84)&lt;=Client_Info!$D$15,EOMONTH(Client_Info!$D$14,84),""))</f>
        <v>44957</v>
      </c>
      <c r="D92" s="141">
        <v>86354762</v>
      </c>
      <c r="E92" s="141">
        <v>76669505</v>
      </c>
      <c r="F92" s="141">
        <v>57294466</v>
      </c>
      <c r="G92" s="141">
        <v>62632793</v>
      </c>
      <c r="H92" s="141">
        <v>50338200</v>
      </c>
      <c r="I92" s="141">
        <v>68344934</v>
      </c>
      <c r="J92" s="141">
        <v>115962552</v>
      </c>
      <c r="K92" s="141">
        <v>93897172</v>
      </c>
      <c r="L92" s="141">
        <v>77121855</v>
      </c>
      <c r="M92" s="141">
        <v>98424237</v>
      </c>
      <c r="N92" s="141">
        <v>42441288</v>
      </c>
      <c r="O92" s="141">
        <v>52999937</v>
      </c>
      <c r="P92" s="141">
        <v>69707902</v>
      </c>
      <c r="Q92" s="141">
        <v>148412344</v>
      </c>
      <c r="R92" s="141">
        <v>73246368</v>
      </c>
      <c r="S92" s="141">
        <v>63485895</v>
      </c>
      <c r="T92" s="141">
        <v>54892317</v>
      </c>
      <c r="U92" s="141">
        <v>44292077</v>
      </c>
      <c r="V92" s="141">
        <v>34450184</v>
      </c>
      <c r="W92" s="141">
        <v>18834183</v>
      </c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120"/>
      <c r="BC92" s="25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</row>
    <row r="93" spans="1:200" ht="15" customHeight="1" x14ac:dyDescent="0.2">
      <c r="A93" s="2"/>
      <c r="B93" s="24" t="str">
        <f t="shared" si="2"/>
        <v>[ROW:FEB_2023]</v>
      </c>
      <c r="C93" s="29">
        <f>IF(OR(Client_Info!$D$14="",Client_Info!$D$15=""),"",IF(EOMONTH(Client_Info!$D$14,85)&lt;=Client_Info!$D$15,EOMONTH(Client_Info!$D$14,85),""))</f>
        <v>44985</v>
      </c>
      <c r="D93" s="141">
        <v>85765389</v>
      </c>
      <c r="E93" s="141">
        <v>75760229</v>
      </c>
      <c r="F93" s="141">
        <v>57146662</v>
      </c>
      <c r="G93" s="141">
        <v>60000179</v>
      </c>
      <c r="H93" s="141">
        <v>48878830</v>
      </c>
      <c r="I93" s="141">
        <v>72112173</v>
      </c>
      <c r="J93" s="141">
        <v>117373254</v>
      </c>
      <c r="K93" s="141">
        <v>95305432</v>
      </c>
      <c r="L93" s="141">
        <v>76532213</v>
      </c>
      <c r="M93" s="141">
        <v>97822122</v>
      </c>
      <c r="N93" s="141">
        <v>42742350</v>
      </c>
      <c r="O93" s="141">
        <v>52028863</v>
      </c>
      <c r="P93" s="141">
        <v>71613209</v>
      </c>
      <c r="Q93" s="141">
        <v>154954482</v>
      </c>
      <c r="R93" s="141">
        <v>72039368</v>
      </c>
      <c r="S93" s="141">
        <v>62459887</v>
      </c>
      <c r="T93" s="141">
        <v>56169651</v>
      </c>
      <c r="U93" s="141">
        <v>43907021</v>
      </c>
      <c r="V93" s="141">
        <v>34126918</v>
      </c>
      <c r="W93" s="141">
        <v>18903134</v>
      </c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120"/>
      <c r="BC93" s="25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</row>
    <row r="94" spans="1:200" ht="15" customHeight="1" x14ac:dyDescent="0.2">
      <c r="A94" s="2"/>
      <c r="B94" s="24" t="str">
        <f t="shared" si="2"/>
        <v>[ROW:MAR_2023]</v>
      </c>
      <c r="C94" s="29">
        <f>IF(OR(Client_Info!$D$14="",Client_Info!$D$15=""),"",IF(EOMONTH(Client_Info!$D$14,86)&lt;=Client_Info!$D$15,EOMONTH(Client_Info!$D$14,86),""))</f>
        <v>45016</v>
      </c>
      <c r="D94" s="141">
        <v>89363782</v>
      </c>
      <c r="E94" s="141">
        <v>79701803</v>
      </c>
      <c r="F94" s="141">
        <v>59080762</v>
      </c>
      <c r="G94" s="141">
        <v>62535760</v>
      </c>
      <c r="H94" s="141">
        <v>51125999</v>
      </c>
      <c r="I94" s="141">
        <v>73653781</v>
      </c>
      <c r="J94" s="141">
        <v>117408342</v>
      </c>
      <c r="K94" s="141">
        <v>97683872</v>
      </c>
      <c r="L94" s="141">
        <v>76382264</v>
      </c>
      <c r="M94" s="141">
        <v>100215415</v>
      </c>
      <c r="N94" s="141">
        <v>43055632</v>
      </c>
      <c r="O94" s="141">
        <v>51597417</v>
      </c>
      <c r="P94" s="141">
        <v>72396608</v>
      </c>
      <c r="Q94" s="141">
        <v>160771012</v>
      </c>
      <c r="R94" s="141">
        <v>70406649</v>
      </c>
      <c r="S94" s="141">
        <v>63256736</v>
      </c>
      <c r="T94" s="141">
        <v>57759924</v>
      </c>
      <c r="U94" s="141">
        <v>45300021</v>
      </c>
      <c r="V94" s="141">
        <v>35214318</v>
      </c>
      <c r="W94" s="141">
        <v>18968245</v>
      </c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120"/>
      <c r="BC94" s="25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</row>
    <row r="95" spans="1:200" ht="15" customHeight="1" x14ac:dyDescent="0.2">
      <c r="A95" s="2"/>
      <c r="B95" s="24" t="str">
        <f t="shared" si="2"/>
        <v>[ROW:APR_2023]</v>
      </c>
      <c r="C95" s="29">
        <f>IF(OR(Client_Info!$D$14="",Client_Info!$D$15=""),"",IF(EOMONTH(Client_Info!$D$14,87)&lt;=Client_Info!$D$15,EOMONTH(Client_Info!$D$14,87),""))</f>
        <v>45046</v>
      </c>
      <c r="D95" s="141">
        <v>92116066</v>
      </c>
      <c r="E95" s="141">
        <v>81258685</v>
      </c>
      <c r="F95" s="141">
        <v>61536702</v>
      </c>
      <c r="G95" s="141">
        <v>63940742</v>
      </c>
      <c r="H95" s="141">
        <v>52114136</v>
      </c>
      <c r="I95" s="141">
        <v>70591524</v>
      </c>
      <c r="J95" s="141">
        <v>113938997</v>
      </c>
      <c r="K95" s="141">
        <v>100379752</v>
      </c>
      <c r="L95" s="141">
        <v>75687187</v>
      </c>
      <c r="M95" s="141">
        <v>100205159</v>
      </c>
      <c r="N95" s="141">
        <v>45362926</v>
      </c>
      <c r="O95" s="141">
        <v>52682264</v>
      </c>
      <c r="P95" s="141">
        <v>72529939</v>
      </c>
      <c r="Q95" s="141">
        <v>161828964</v>
      </c>
      <c r="R95" s="141">
        <v>72528596</v>
      </c>
      <c r="S95" s="141">
        <v>65110827</v>
      </c>
      <c r="T95" s="141">
        <v>58165520</v>
      </c>
      <c r="U95" s="141">
        <v>45411987</v>
      </c>
      <c r="V95" s="141">
        <v>35811886</v>
      </c>
      <c r="W95" s="141">
        <v>19035728</v>
      </c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120"/>
      <c r="BC95" s="25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</row>
    <row r="96" spans="1:200" ht="15" customHeight="1" x14ac:dyDescent="0.2">
      <c r="A96" s="2"/>
      <c r="B96" s="24" t="str">
        <f t="shared" si="2"/>
        <v>[ROW:MAY_2023]</v>
      </c>
      <c r="C96" s="29">
        <f>IF(OR(Client_Info!$D$14="",Client_Info!$D$15=""),"",IF(EOMONTH(Client_Info!$D$14,88)&lt;=Client_Info!$D$15,EOMONTH(Client_Info!$D$14,88),""))</f>
        <v>45077</v>
      </c>
      <c r="D96" s="141">
        <v>90573670</v>
      </c>
      <c r="E96" s="141">
        <v>80864452</v>
      </c>
      <c r="F96" s="141">
        <v>61452787</v>
      </c>
      <c r="G96" s="141">
        <v>65786907</v>
      </c>
      <c r="H96" s="141">
        <v>53079597</v>
      </c>
      <c r="I96" s="141">
        <v>69291356</v>
      </c>
      <c r="J96" s="141">
        <v>119569364</v>
      </c>
      <c r="K96" s="141">
        <v>102662837</v>
      </c>
      <c r="L96" s="141">
        <v>77258540</v>
      </c>
      <c r="M96" s="141">
        <v>99572245</v>
      </c>
      <c r="N96" s="141">
        <v>44167701</v>
      </c>
      <c r="O96" s="141">
        <v>54555506</v>
      </c>
      <c r="P96" s="141">
        <v>74131198</v>
      </c>
      <c r="Q96" s="141">
        <v>164178738</v>
      </c>
      <c r="R96" s="141">
        <v>71800447</v>
      </c>
      <c r="S96" s="141">
        <v>66064883</v>
      </c>
      <c r="T96" s="141">
        <v>58530654</v>
      </c>
      <c r="U96" s="141">
        <v>45358212</v>
      </c>
      <c r="V96" s="141">
        <v>35939742</v>
      </c>
      <c r="W96" s="141">
        <v>19112100</v>
      </c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120"/>
      <c r="BC96" s="25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</row>
    <row r="97" spans="1:200" ht="15" customHeight="1" x14ac:dyDescent="0.2">
      <c r="A97" s="2"/>
      <c r="B97" s="24" t="str">
        <f t="shared" si="2"/>
        <v>[ROW:JUN_2023]</v>
      </c>
      <c r="C97" s="29">
        <f>IF(OR(Client_Info!$D$14="",Client_Info!$D$15=""),"",IF(EOMONTH(Client_Info!$D$14,89)&lt;=Client_Info!$D$15,EOMONTH(Client_Info!$D$14,89),""))</f>
        <v>45107</v>
      </c>
      <c r="D97" s="141">
        <v>93628259</v>
      </c>
      <c r="E97" s="141">
        <v>85128941</v>
      </c>
      <c r="F97" s="141">
        <v>64146954</v>
      </c>
      <c r="G97" s="141">
        <v>68541399</v>
      </c>
      <c r="H97" s="141">
        <v>55333558</v>
      </c>
      <c r="I97" s="141">
        <v>64106299</v>
      </c>
      <c r="J97" s="141">
        <v>125783390</v>
      </c>
      <c r="K97" s="141">
        <v>104969375</v>
      </c>
      <c r="L97" s="141">
        <v>78661636</v>
      </c>
      <c r="M97" s="141">
        <v>99882587</v>
      </c>
      <c r="N97" s="141">
        <v>43959888</v>
      </c>
      <c r="O97" s="141">
        <v>55184772</v>
      </c>
      <c r="P97" s="141">
        <v>76299025</v>
      </c>
      <c r="Q97" s="141">
        <v>167469660</v>
      </c>
      <c r="R97" s="141">
        <v>70478783</v>
      </c>
      <c r="S97" s="141">
        <v>66012759</v>
      </c>
      <c r="T97" s="141">
        <v>58550759</v>
      </c>
      <c r="U97" s="141">
        <v>45794280</v>
      </c>
      <c r="V97" s="141">
        <v>36349051</v>
      </c>
      <c r="W97" s="141">
        <v>19181290</v>
      </c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120"/>
      <c r="BC97" s="25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</row>
    <row r="98" spans="1:200" ht="15" customHeight="1" x14ac:dyDescent="0.2">
      <c r="A98" s="2"/>
      <c r="B98" s="24" t="str">
        <f t="shared" si="2"/>
        <v>[ROW:JUL_2023]</v>
      </c>
      <c r="C98" s="29">
        <f>IF(OR(Client_Info!$D$14="",Client_Info!$D$15=""),"",IF(EOMONTH(Client_Info!$D$14,90)&lt;=Client_Info!$D$15,EOMONTH(Client_Info!$D$14,90),""))</f>
        <v>45138</v>
      </c>
      <c r="D98" s="141">
        <v>95704765</v>
      </c>
      <c r="E98" s="141">
        <v>85369661</v>
      </c>
      <c r="F98" s="141">
        <v>65544231</v>
      </c>
      <c r="G98" s="141">
        <v>68806351</v>
      </c>
      <c r="H98" s="141">
        <v>55472625</v>
      </c>
      <c r="I98" s="141">
        <v>64392215</v>
      </c>
      <c r="J98" s="141">
        <v>130067216</v>
      </c>
      <c r="K98" s="141">
        <v>109180951</v>
      </c>
      <c r="L98" s="141">
        <v>79515912</v>
      </c>
      <c r="M98" s="141">
        <v>93546251</v>
      </c>
      <c r="N98" s="141">
        <v>40609597</v>
      </c>
      <c r="O98" s="141">
        <v>55976025</v>
      </c>
      <c r="P98" s="141">
        <v>78564773</v>
      </c>
      <c r="Q98" s="141">
        <v>170275387</v>
      </c>
      <c r="R98" s="141">
        <v>71061638</v>
      </c>
      <c r="S98" s="141">
        <v>67987390</v>
      </c>
      <c r="T98" s="141">
        <v>58508000</v>
      </c>
      <c r="U98" s="141">
        <v>46064984</v>
      </c>
      <c r="V98" s="141">
        <v>36312422</v>
      </c>
      <c r="W98" s="141">
        <v>19248019</v>
      </c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120"/>
      <c r="BC98" s="25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</row>
    <row r="99" spans="1:200" ht="15" customHeight="1" x14ac:dyDescent="0.2">
      <c r="A99" s="2"/>
      <c r="B99" s="24" t="str">
        <f t="shared" si="2"/>
        <v>[ROW:AUG_2023]</v>
      </c>
      <c r="C99" s="29">
        <f>IF(OR(Client_Info!$D$14="",Client_Info!$D$15=""),"",IF(EOMONTH(Client_Info!$D$14,91)&lt;=Client_Info!$D$15,EOMONTH(Client_Info!$D$14,91),""))</f>
        <v>45169</v>
      </c>
      <c r="D99" s="141">
        <v>100842616</v>
      </c>
      <c r="E99" s="141">
        <v>89602134</v>
      </c>
      <c r="F99" s="141">
        <v>69049320</v>
      </c>
      <c r="G99" s="141">
        <v>67913282</v>
      </c>
      <c r="H99" s="141">
        <v>53408019</v>
      </c>
      <c r="I99" s="141">
        <v>67456767</v>
      </c>
      <c r="J99" s="141">
        <v>131143217</v>
      </c>
      <c r="K99" s="141">
        <v>114845517</v>
      </c>
      <c r="L99" s="141">
        <v>83013340</v>
      </c>
      <c r="M99" s="141">
        <v>94771850</v>
      </c>
      <c r="N99" s="141">
        <v>42087788</v>
      </c>
      <c r="O99" s="141">
        <v>56826985</v>
      </c>
      <c r="P99" s="141">
        <v>79245532</v>
      </c>
      <c r="Q99" s="141">
        <v>168956477</v>
      </c>
      <c r="R99" s="141">
        <v>75890290</v>
      </c>
      <c r="S99" s="141">
        <v>69503860</v>
      </c>
      <c r="T99" s="141">
        <v>57891840</v>
      </c>
      <c r="U99" s="141">
        <v>47386557</v>
      </c>
      <c r="V99" s="141">
        <v>37161015</v>
      </c>
      <c r="W99" s="141">
        <v>19324556</v>
      </c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120"/>
      <c r="BC99" s="25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</row>
    <row r="100" spans="1:200" ht="15" customHeight="1" x14ac:dyDescent="0.2">
      <c r="A100" s="2"/>
      <c r="B100" s="24" t="str">
        <f t="shared" si="2"/>
        <v>[ROW:SEP_2023]</v>
      </c>
      <c r="C100" s="29">
        <f>IF(OR(Client_Info!$D$14="",Client_Info!$D$15=""),"",IF(EOMONTH(Client_Info!$D$14,92)&lt;=Client_Info!$D$15,EOMONTH(Client_Info!$D$14,92),""))</f>
        <v>45199</v>
      </c>
      <c r="D100" s="141">
        <v>98445378</v>
      </c>
      <c r="E100" s="141">
        <v>87508543</v>
      </c>
      <c r="F100" s="141">
        <v>68397641</v>
      </c>
      <c r="G100" s="141">
        <v>67379498</v>
      </c>
      <c r="H100" s="141">
        <v>53902775</v>
      </c>
      <c r="I100" s="141">
        <v>64055544</v>
      </c>
      <c r="J100" s="141">
        <v>131327872</v>
      </c>
      <c r="K100" s="141">
        <v>116293236</v>
      </c>
      <c r="L100" s="141">
        <v>81497384</v>
      </c>
      <c r="M100" s="141">
        <v>97461664</v>
      </c>
      <c r="N100" s="141">
        <v>44596628</v>
      </c>
      <c r="O100" s="141">
        <v>57373351</v>
      </c>
      <c r="P100" s="141">
        <v>81523424</v>
      </c>
      <c r="Q100" s="141">
        <v>170256661</v>
      </c>
      <c r="R100" s="141">
        <v>76676387</v>
      </c>
      <c r="S100" s="141">
        <v>71257443</v>
      </c>
      <c r="T100" s="141">
        <v>58040282</v>
      </c>
      <c r="U100" s="141">
        <v>47346434</v>
      </c>
      <c r="V100" s="141">
        <v>37094781</v>
      </c>
      <c r="W100" s="141">
        <v>19401496</v>
      </c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120"/>
      <c r="BC100" s="25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</row>
    <row r="101" spans="1:200" ht="15" customHeight="1" x14ac:dyDescent="0.2">
      <c r="A101" s="2"/>
      <c r="B101" s="24" t="str">
        <f t="shared" si="2"/>
        <v>[ROW:OCT_2023]</v>
      </c>
      <c r="C101" s="29">
        <f>IF(OR(Client_Info!$D$14="",Client_Info!$D$15=""),"",IF(EOMONTH(Client_Info!$D$14,93)&lt;=Client_Info!$D$15,EOMONTH(Client_Info!$D$14,93),""))</f>
        <v>45230</v>
      </c>
      <c r="D101" s="141">
        <v>98072547</v>
      </c>
      <c r="E101" s="141">
        <v>86673669</v>
      </c>
      <c r="F101" s="141">
        <v>68780936</v>
      </c>
      <c r="G101" s="141">
        <v>65919153</v>
      </c>
      <c r="H101" s="141">
        <v>52947941</v>
      </c>
      <c r="I101" s="141">
        <v>67575058</v>
      </c>
      <c r="J101" s="141">
        <v>134528787</v>
      </c>
      <c r="K101" s="141">
        <v>117615575</v>
      </c>
      <c r="L101" s="141">
        <v>83788244</v>
      </c>
      <c r="M101" s="141">
        <v>108394530</v>
      </c>
      <c r="N101" s="141">
        <v>47466156</v>
      </c>
      <c r="O101" s="141">
        <v>57332189</v>
      </c>
      <c r="P101" s="141">
        <v>83060352</v>
      </c>
      <c r="Q101" s="141">
        <v>169634282</v>
      </c>
      <c r="R101" s="141">
        <v>78452006</v>
      </c>
      <c r="S101" s="141">
        <v>74680785</v>
      </c>
      <c r="T101" s="141">
        <v>58353205</v>
      </c>
      <c r="U101" s="141">
        <v>47727179</v>
      </c>
      <c r="V101" s="141">
        <v>37321877</v>
      </c>
      <c r="W101" s="141">
        <v>19477953</v>
      </c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120"/>
      <c r="BC101" s="25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</row>
    <row r="102" spans="1:200" ht="15" customHeight="1" x14ac:dyDescent="0.2">
      <c r="A102" s="2"/>
      <c r="B102" s="24" t="str">
        <f t="shared" si="2"/>
        <v>[ROW:NOV_2023]</v>
      </c>
      <c r="C102" s="29">
        <f>IF(OR(Client_Info!$D$14="",Client_Info!$D$15=""),"",IF(EOMONTH(Client_Info!$D$14,94)&lt;=Client_Info!$D$15,EOMONTH(Client_Info!$D$14,94),""))</f>
        <v>45260</v>
      </c>
      <c r="D102" s="141">
        <v>97451509</v>
      </c>
      <c r="E102" s="141">
        <v>86681661</v>
      </c>
      <c r="F102" s="141">
        <v>68035425</v>
      </c>
      <c r="G102" s="141">
        <v>67948207</v>
      </c>
      <c r="H102" s="141">
        <v>55875016</v>
      </c>
      <c r="I102" s="141">
        <v>65022583</v>
      </c>
      <c r="J102" s="141">
        <v>140428685</v>
      </c>
      <c r="K102" s="141">
        <v>124878183</v>
      </c>
      <c r="L102" s="141">
        <v>88586201</v>
      </c>
      <c r="M102" s="141">
        <v>115449723</v>
      </c>
      <c r="N102" s="141">
        <v>47649069</v>
      </c>
      <c r="O102" s="141">
        <v>58516581</v>
      </c>
      <c r="P102" s="141">
        <v>84139128</v>
      </c>
      <c r="Q102" s="141">
        <v>159345690</v>
      </c>
      <c r="R102" s="141">
        <v>77582672</v>
      </c>
      <c r="S102" s="141">
        <v>75081538</v>
      </c>
      <c r="T102" s="141">
        <v>57764876</v>
      </c>
      <c r="U102" s="141">
        <v>47449735</v>
      </c>
      <c r="V102" s="141">
        <v>36884819</v>
      </c>
      <c r="W102" s="141">
        <v>19561076</v>
      </c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120"/>
      <c r="BC102" s="25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</row>
    <row r="103" spans="1:200" ht="15" customHeight="1" x14ac:dyDescent="0.2">
      <c r="A103" s="2"/>
      <c r="B103" s="24" t="str">
        <f t="shared" si="2"/>
        <v>[ROW:DEC_2023]</v>
      </c>
      <c r="C103" s="29">
        <f>IF(OR(Client_Info!$D$14="",Client_Info!$D$15=""),"",IF(EOMONTH(Client_Info!$D$14,95)&lt;=Client_Info!$D$15,EOMONTH(Client_Info!$D$14,95),""))</f>
        <v>45291</v>
      </c>
      <c r="D103" s="141">
        <v>91996377</v>
      </c>
      <c r="E103" s="141">
        <v>82179381</v>
      </c>
      <c r="F103" s="141">
        <v>63925998</v>
      </c>
      <c r="G103" s="141">
        <v>68226043</v>
      </c>
      <c r="H103" s="141">
        <v>56616766</v>
      </c>
      <c r="I103" s="141">
        <v>63621697</v>
      </c>
      <c r="J103" s="141">
        <v>144287111</v>
      </c>
      <c r="K103" s="141">
        <v>125854666</v>
      </c>
      <c r="L103" s="141">
        <v>89002240</v>
      </c>
      <c r="M103" s="141">
        <v>112999523</v>
      </c>
      <c r="N103" s="141">
        <v>48365998</v>
      </c>
      <c r="O103" s="141">
        <v>59795786</v>
      </c>
      <c r="P103" s="141">
        <v>82860512</v>
      </c>
      <c r="Q103" s="141">
        <v>165174015</v>
      </c>
      <c r="R103" s="141">
        <v>78223689</v>
      </c>
      <c r="S103" s="141">
        <v>76158000</v>
      </c>
      <c r="T103" s="141">
        <v>56165205</v>
      </c>
      <c r="U103" s="141">
        <v>46924900</v>
      </c>
      <c r="V103" s="141">
        <v>36467988</v>
      </c>
      <c r="W103" s="141">
        <v>19650246</v>
      </c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120"/>
      <c r="BC103" s="25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</row>
    <row r="104" spans="1:200" ht="15" customHeight="1" x14ac:dyDescent="0.2">
      <c r="A104" s="2"/>
      <c r="B104" s="24" t="str">
        <f t="shared" ref="B104:B135" si="3">IF(C104="","","[ROW:"&amp;UPPER(TEXT(C104,"MMM"))&amp;"_"&amp;TEXT(C104,"YYYY")&amp;"]")</f>
        <v>[ROW:JAN_2024]</v>
      </c>
      <c r="C104" s="29">
        <f>IF(OR(Client_Info!$D$14="",Client_Info!$D$15=""),"",IF(EOMONTH(Client_Info!$D$14,96)&lt;=Client_Info!$D$15,EOMONTH(Client_Info!$D$14,96),""))</f>
        <v>45322</v>
      </c>
      <c r="D104" s="141">
        <v>93974366</v>
      </c>
      <c r="E104" s="141">
        <v>83744609</v>
      </c>
      <c r="F104" s="141">
        <v>65558831</v>
      </c>
      <c r="G104" s="141">
        <v>67046561</v>
      </c>
      <c r="H104" s="141">
        <v>54781607</v>
      </c>
      <c r="I104" s="141">
        <v>63515368</v>
      </c>
      <c r="J104" s="141">
        <v>142950022</v>
      </c>
      <c r="K104" s="141">
        <v>125627553</v>
      </c>
      <c r="L104" s="141">
        <v>87943905</v>
      </c>
      <c r="M104" s="141">
        <v>119205464</v>
      </c>
      <c r="N104" s="141">
        <v>50761392</v>
      </c>
      <c r="O104" s="141">
        <v>58370380</v>
      </c>
      <c r="P104" s="141">
        <v>82478801</v>
      </c>
      <c r="Q104" s="141">
        <v>163069843</v>
      </c>
      <c r="R104" s="141">
        <v>78985898</v>
      </c>
      <c r="S104" s="141">
        <v>76066938</v>
      </c>
      <c r="T104" s="141">
        <v>56663124</v>
      </c>
      <c r="U104" s="141">
        <v>46964618</v>
      </c>
      <c r="V104" s="141">
        <v>36618524</v>
      </c>
      <c r="W104" s="141">
        <v>19736982</v>
      </c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120"/>
      <c r="BC104" s="25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</row>
    <row r="105" spans="1:200" ht="15" customHeight="1" x14ac:dyDescent="0.2">
      <c r="A105" s="2"/>
      <c r="B105" s="24" t="str">
        <f t="shared" si="3"/>
        <v>[ROW:FEB_2024]</v>
      </c>
      <c r="C105" s="29">
        <f>IF(OR(Client_Info!$D$14="",Client_Info!$D$15=""),"",IF(EOMONTH(Client_Info!$D$14,97)&lt;=Client_Info!$D$15,EOMONTH(Client_Info!$D$14,97),""))</f>
        <v>45351</v>
      </c>
      <c r="D105" s="141">
        <v>97867751</v>
      </c>
      <c r="E105" s="141">
        <v>84085696</v>
      </c>
      <c r="F105" s="141">
        <v>68503222</v>
      </c>
      <c r="G105" s="141">
        <v>66241073</v>
      </c>
      <c r="H105" s="141">
        <v>53587192</v>
      </c>
      <c r="I105" s="141">
        <v>60345056</v>
      </c>
      <c r="J105" s="141">
        <v>142269444</v>
      </c>
      <c r="K105" s="141">
        <v>125419438</v>
      </c>
      <c r="L105" s="141">
        <v>86917357</v>
      </c>
      <c r="M105" s="141">
        <v>122750506</v>
      </c>
      <c r="N105" s="141">
        <v>54283447</v>
      </c>
      <c r="O105" s="141">
        <v>58907792</v>
      </c>
      <c r="P105" s="141">
        <v>84277857</v>
      </c>
      <c r="Q105" s="141">
        <v>162859683</v>
      </c>
      <c r="R105" s="141">
        <v>78321849</v>
      </c>
      <c r="S105" s="141">
        <v>77002618</v>
      </c>
      <c r="T105" s="141">
        <v>56608012</v>
      </c>
      <c r="U105" s="141">
        <v>46790907</v>
      </c>
      <c r="V105" s="141">
        <v>36798414</v>
      </c>
      <c r="W105" s="141">
        <v>19824706</v>
      </c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120"/>
      <c r="BC105" s="25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</row>
    <row r="106" spans="1:200" ht="15" customHeight="1" x14ac:dyDescent="0.2">
      <c r="A106" s="2"/>
      <c r="B106" s="24" t="str">
        <f t="shared" si="3"/>
        <v>[ROW:MAR_2024]</v>
      </c>
      <c r="C106" s="29">
        <f>IF(OR(Client_Info!$D$14="",Client_Info!$D$15=""),"",IF(EOMONTH(Client_Info!$D$14,98)&lt;=Client_Info!$D$15,EOMONTH(Client_Info!$D$14,98),""))</f>
        <v>45382</v>
      </c>
      <c r="D106" s="141">
        <v>99665094</v>
      </c>
      <c r="E106" s="141">
        <v>85355520</v>
      </c>
      <c r="F106" s="141">
        <v>68063874</v>
      </c>
      <c r="G106" s="141">
        <v>65741012</v>
      </c>
      <c r="H106" s="141">
        <v>54503225</v>
      </c>
      <c r="I106" s="141">
        <v>59775172</v>
      </c>
      <c r="J106" s="141">
        <v>146459319</v>
      </c>
      <c r="K106" s="141">
        <v>130880911</v>
      </c>
      <c r="L106" s="141">
        <v>90788276</v>
      </c>
      <c r="M106" s="141">
        <v>130053047</v>
      </c>
      <c r="N106" s="141">
        <v>56146206</v>
      </c>
      <c r="O106" s="141">
        <v>58990731</v>
      </c>
      <c r="P106" s="141">
        <v>86400262</v>
      </c>
      <c r="Q106" s="141">
        <v>160416042</v>
      </c>
      <c r="R106" s="141">
        <v>78219699</v>
      </c>
      <c r="S106" s="141">
        <v>79884034</v>
      </c>
      <c r="T106" s="141">
        <v>56002134</v>
      </c>
      <c r="U106" s="141">
        <v>46605134</v>
      </c>
      <c r="V106" s="141">
        <v>36921573</v>
      </c>
      <c r="W106" s="141">
        <v>19920240</v>
      </c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120"/>
      <c r="BC106" s="25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</row>
    <row r="107" spans="1:200" ht="15" customHeight="1" x14ac:dyDescent="0.2">
      <c r="A107" s="2"/>
      <c r="B107" s="24" t="str">
        <f t="shared" si="3"/>
        <v>[ROW:APR_2024]</v>
      </c>
      <c r="C107" s="29">
        <f>IF(OR(Client_Info!$D$14="",Client_Info!$D$15=""),"",IF(EOMONTH(Client_Info!$D$14,99)&lt;=Client_Info!$D$15,EOMONTH(Client_Info!$D$14,99),""))</f>
        <v>45412</v>
      </c>
      <c r="D107" s="141">
        <v>99475415</v>
      </c>
      <c r="E107" s="141">
        <v>84518075</v>
      </c>
      <c r="F107" s="141">
        <v>66696482</v>
      </c>
      <c r="G107" s="141">
        <v>64777770</v>
      </c>
      <c r="H107" s="141">
        <v>53654635</v>
      </c>
      <c r="I107" s="141">
        <v>56821162</v>
      </c>
      <c r="J107" s="141">
        <v>152067292</v>
      </c>
      <c r="K107" s="141">
        <v>134150858</v>
      </c>
      <c r="L107" s="141">
        <v>92255758</v>
      </c>
      <c r="M107" s="141">
        <v>137423975</v>
      </c>
      <c r="N107" s="141">
        <v>59851582</v>
      </c>
      <c r="O107" s="141">
        <v>59515798</v>
      </c>
      <c r="P107" s="141">
        <v>89474020</v>
      </c>
      <c r="Q107" s="141">
        <v>154275323</v>
      </c>
      <c r="R107" s="141">
        <v>77908035</v>
      </c>
      <c r="S107" s="141">
        <v>80630275</v>
      </c>
      <c r="T107" s="141">
        <v>53920533</v>
      </c>
      <c r="U107" s="141">
        <v>46193112</v>
      </c>
      <c r="V107" s="141">
        <v>36677382</v>
      </c>
      <c r="W107" s="141">
        <v>20002628</v>
      </c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120"/>
      <c r="BC107" s="25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</row>
    <row r="108" spans="1:200" ht="15" customHeight="1" x14ac:dyDescent="0.2">
      <c r="A108" s="2"/>
      <c r="B108" s="24" t="str">
        <f t="shared" si="3"/>
        <v>[ROW:MAY_2024]</v>
      </c>
      <c r="C108" s="29">
        <f>IF(OR(Client_Info!$D$14="",Client_Info!$D$15=""),"",IF(EOMONTH(Client_Info!$D$14,100)&lt;=Client_Info!$D$15,EOMONTH(Client_Info!$D$14,100),""))</f>
        <v>45443</v>
      </c>
      <c r="D108" s="141">
        <v>95339929</v>
      </c>
      <c r="E108" s="141">
        <v>80884558</v>
      </c>
      <c r="F108" s="141">
        <v>63517779</v>
      </c>
      <c r="G108" s="141">
        <v>63329774</v>
      </c>
      <c r="H108" s="141">
        <v>51595168</v>
      </c>
      <c r="I108" s="141">
        <v>63539859</v>
      </c>
      <c r="J108" s="141">
        <v>155340748</v>
      </c>
      <c r="K108" s="141">
        <v>136149082</v>
      </c>
      <c r="L108" s="141">
        <v>92048757</v>
      </c>
      <c r="M108" s="141">
        <v>142258294</v>
      </c>
      <c r="N108" s="141">
        <v>59736012</v>
      </c>
      <c r="O108" s="141">
        <v>58335818</v>
      </c>
      <c r="P108" s="141">
        <v>90027654</v>
      </c>
      <c r="Q108" s="141">
        <v>160604508</v>
      </c>
      <c r="R108" s="141">
        <v>79850290</v>
      </c>
      <c r="S108" s="141">
        <v>82618014</v>
      </c>
      <c r="T108" s="141">
        <v>54053665</v>
      </c>
      <c r="U108" s="141">
        <v>45634315</v>
      </c>
      <c r="V108" s="141">
        <v>36341447</v>
      </c>
      <c r="W108" s="141">
        <v>20087731</v>
      </c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120"/>
      <c r="BC108" s="25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</row>
    <row r="109" spans="1:200" ht="15" customHeight="1" x14ac:dyDescent="0.2">
      <c r="A109" s="2"/>
      <c r="B109" s="24" t="str">
        <f t="shared" si="3"/>
        <v>[ROW:JUN_2024]</v>
      </c>
      <c r="C109" s="29">
        <f>IF(OR(Client_Info!$D$14="",Client_Info!$D$15=""),"",IF(EOMONTH(Client_Info!$D$14,101)&lt;=Client_Info!$D$15,EOMONTH(Client_Info!$D$14,101),""))</f>
        <v>45473</v>
      </c>
      <c r="D109" s="141">
        <v>94348162</v>
      </c>
      <c r="E109" s="141">
        <v>80028736</v>
      </c>
      <c r="F109" s="141">
        <v>63122065</v>
      </c>
      <c r="G109" s="141">
        <v>64618550</v>
      </c>
      <c r="H109" s="141">
        <v>51840819</v>
      </c>
      <c r="I109" s="141">
        <v>65047250</v>
      </c>
      <c r="J109" s="141">
        <v>161739823</v>
      </c>
      <c r="K109" s="141">
        <v>140750549</v>
      </c>
      <c r="L109" s="141">
        <v>95405907</v>
      </c>
      <c r="M109" s="141">
        <v>160594797</v>
      </c>
      <c r="N109" s="141">
        <v>66713386</v>
      </c>
      <c r="O109" s="141">
        <v>59846973</v>
      </c>
      <c r="P109" s="141">
        <v>87964409</v>
      </c>
      <c r="Q109" s="141">
        <v>172249768</v>
      </c>
      <c r="R109" s="141">
        <v>83222546</v>
      </c>
      <c r="S109" s="141">
        <v>85661415</v>
      </c>
      <c r="T109" s="141">
        <v>55623728</v>
      </c>
      <c r="U109" s="141">
        <v>45947704</v>
      </c>
      <c r="V109" s="141">
        <v>36465107</v>
      </c>
      <c r="W109" s="141">
        <v>20167412</v>
      </c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120"/>
      <c r="BC109" s="25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</row>
    <row r="110" spans="1:200" ht="15" customHeight="1" x14ac:dyDescent="0.2">
      <c r="A110" s="2"/>
      <c r="B110" s="24" t="str">
        <f t="shared" si="3"/>
        <v>[ROW:JUL_2024]</v>
      </c>
      <c r="C110" s="29">
        <f>IF(OR(Client_Info!$D$14="",Client_Info!$D$15=""),"",IF(EOMONTH(Client_Info!$D$14,102)&lt;=Client_Info!$D$15,EOMONTH(Client_Info!$D$14,102),""))</f>
        <v>45504</v>
      </c>
      <c r="D110" s="141">
        <v>95326814</v>
      </c>
      <c r="E110" s="141">
        <v>80815881</v>
      </c>
      <c r="F110" s="141">
        <v>63053388</v>
      </c>
      <c r="G110" s="141">
        <v>66557308</v>
      </c>
      <c r="H110" s="141">
        <v>52771727</v>
      </c>
      <c r="I110" s="141">
        <v>62886110</v>
      </c>
      <c r="J110" s="141">
        <v>160269250</v>
      </c>
      <c r="K110" s="141">
        <v>139296212</v>
      </c>
      <c r="L110" s="141">
        <v>92195329</v>
      </c>
      <c r="M110" s="141">
        <v>182736129</v>
      </c>
      <c r="N110" s="141">
        <v>77978959</v>
      </c>
      <c r="O110" s="141">
        <v>61667326</v>
      </c>
      <c r="P110" s="141">
        <v>86953164</v>
      </c>
      <c r="Q110" s="141">
        <v>177662136</v>
      </c>
      <c r="R110" s="141">
        <v>85762586</v>
      </c>
      <c r="S110" s="141">
        <v>84696433</v>
      </c>
      <c r="T110" s="141">
        <v>57016756</v>
      </c>
      <c r="U110" s="141">
        <v>45145457</v>
      </c>
      <c r="V110" s="141">
        <v>35731608</v>
      </c>
      <c r="W110" s="141">
        <v>20244224</v>
      </c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120"/>
      <c r="BC110" s="25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</row>
    <row r="111" spans="1:200" ht="15" customHeight="1" x14ac:dyDescent="0.2">
      <c r="A111" s="2"/>
      <c r="B111" s="24" t="str">
        <f t="shared" si="3"/>
        <v>[ROW:AUG_2024]</v>
      </c>
      <c r="C111" s="29">
        <f>IF(OR(Client_Info!$D$14="",Client_Info!$D$15=""),"",IF(EOMONTH(Client_Info!$D$14,103)&lt;=Client_Info!$D$15,EOMONTH(Client_Info!$D$14,103),""))</f>
        <v>45535</v>
      </c>
      <c r="D111" s="141">
        <v>93534222</v>
      </c>
      <c r="E111" s="141">
        <v>77576849</v>
      </c>
      <c r="F111" s="141">
        <v>61794309</v>
      </c>
      <c r="G111" s="141">
        <v>64758797</v>
      </c>
      <c r="H111" s="141">
        <v>51906477</v>
      </c>
      <c r="I111" s="141">
        <v>63527455</v>
      </c>
      <c r="J111" s="141">
        <v>155672397</v>
      </c>
      <c r="K111" s="141">
        <v>132962059</v>
      </c>
      <c r="L111" s="141">
        <v>88491210</v>
      </c>
      <c r="M111" s="141">
        <v>188927841</v>
      </c>
      <c r="N111" s="141">
        <v>82473328</v>
      </c>
      <c r="O111" s="141">
        <v>62528551</v>
      </c>
      <c r="P111" s="141">
        <v>85229330</v>
      </c>
      <c r="Q111" s="141">
        <v>175700553</v>
      </c>
      <c r="R111" s="141">
        <v>83626452</v>
      </c>
      <c r="S111" s="141">
        <v>83240201</v>
      </c>
      <c r="T111" s="141">
        <v>57162287</v>
      </c>
      <c r="U111" s="141">
        <v>45187264</v>
      </c>
      <c r="V111" s="141">
        <v>36209173</v>
      </c>
      <c r="W111" s="141">
        <v>20321629</v>
      </c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120"/>
      <c r="BC111" s="25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</row>
    <row r="112" spans="1:200" ht="15" customHeight="1" x14ac:dyDescent="0.2">
      <c r="A112" s="2"/>
      <c r="B112" s="24" t="str">
        <f t="shared" si="3"/>
        <v>[ROW:SEP_2024]</v>
      </c>
      <c r="C112" s="29">
        <f>IF(OR(Client_Info!$D$14="",Client_Info!$D$15=""),"",IF(EOMONTH(Client_Info!$D$14,104)&lt;=Client_Info!$D$15,EOMONTH(Client_Info!$D$14,104),""))</f>
        <v>45565</v>
      </c>
      <c r="D112" s="141">
        <v>93856333</v>
      </c>
      <c r="E112" s="141">
        <v>75737030</v>
      </c>
      <c r="F112" s="141">
        <v>61858851</v>
      </c>
      <c r="G112" s="141">
        <v>64412402</v>
      </c>
      <c r="H112" s="141">
        <v>51173449</v>
      </c>
      <c r="I112" s="141">
        <v>62664570</v>
      </c>
      <c r="J112" s="141">
        <v>150622829</v>
      </c>
      <c r="K112" s="141">
        <v>122795492</v>
      </c>
      <c r="L112" s="141">
        <v>85649674</v>
      </c>
      <c r="M112" s="141">
        <v>182303410</v>
      </c>
      <c r="N112" s="141">
        <v>81024686</v>
      </c>
      <c r="O112" s="141">
        <v>64509639</v>
      </c>
      <c r="P112" s="141">
        <v>83753876</v>
      </c>
      <c r="Q112" s="141">
        <v>173536199</v>
      </c>
      <c r="R112" s="141">
        <v>84977389</v>
      </c>
      <c r="S112" s="141">
        <v>82231488</v>
      </c>
      <c r="T112" s="141">
        <v>56790325</v>
      </c>
      <c r="U112" s="141">
        <v>45262590</v>
      </c>
      <c r="V112" s="141">
        <v>36135899</v>
      </c>
      <c r="W112" s="141">
        <v>20398721</v>
      </c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120"/>
      <c r="BC112" s="25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</row>
    <row r="113" spans="1:200" ht="15" customHeight="1" x14ac:dyDescent="0.2">
      <c r="A113" s="2"/>
      <c r="B113" s="24" t="str">
        <f t="shared" si="3"/>
        <v>[ROW:OCT_2024]</v>
      </c>
      <c r="C113" s="29">
        <f>IF(OR(Client_Info!$D$14="",Client_Info!$D$15=""),"",IF(EOMONTH(Client_Info!$D$14,105)&lt;=Client_Info!$D$15,EOMONTH(Client_Info!$D$14,105),""))</f>
        <v>45596</v>
      </c>
      <c r="D113" s="141">
        <v>97078643</v>
      </c>
      <c r="E113" s="141">
        <v>78250612</v>
      </c>
      <c r="F113" s="141">
        <v>64967274</v>
      </c>
      <c r="G113" s="141">
        <v>66279165</v>
      </c>
      <c r="H113" s="141">
        <v>51495738</v>
      </c>
      <c r="I113" s="141">
        <v>61694583</v>
      </c>
      <c r="J113" s="141">
        <v>147733219</v>
      </c>
      <c r="K113" s="141">
        <v>121694291</v>
      </c>
      <c r="L113" s="141">
        <v>84679843</v>
      </c>
      <c r="M113" s="141">
        <v>192859724</v>
      </c>
      <c r="N113" s="141">
        <v>88571261</v>
      </c>
      <c r="O113" s="141">
        <v>63433624</v>
      </c>
      <c r="P113" s="141">
        <v>82327635</v>
      </c>
      <c r="Q113" s="141">
        <v>174590156</v>
      </c>
      <c r="R113" s="141">
        <v>82564136</v>
      </c>
      <c r="S113" s="141">
        <v>80566582</v>
      </c>
      <c r="T113" s="141">
        <v>58028940</v>
      </c>
      <c r="U113" s="141">
        <v>44792995</v>
      </c>
      <c r="V113" s="141">
        <v>35495055</v>
      </c>
      <c r="W113" s="141">
        <v>20479806</v>
      </c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120"/>
      <c r="BC113" s="25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</row>
    <row r="114" spans="1:200" ht="15" customHeight="1" x14ac:dyDescent="0.2">
      <c r="A114" s="2"/>
      <c r="B114" s="24" t="str">
        <f t="shared" si="3"/>
        <v>[ROW:NOV_2024]</v>
      </c>
      <c r="C114" s="29">
        <f>IF(OR(Client_Info!$D$14="",Client_Info!$D$15=""),"",IF(EOMONTH(Client_Info!$D$14,106)&lt;=Client_Info!$D$15,EOMONTH(Client_Info!$D$14,106),""))</f>
        <v>45626</v>
      </c>
      <c r="D114" s="141">
        <v>104379151</v>
      </c>
      <c r="E114" s="141">
        <v>86724629</v>
      </c>
      <c r="F114" s="141">
        <v>69503106</v>
      </c>
      <c r="G114" s="141">
        <v>61425697</v>
      </c>
      <c r="H114" s="141">
        <v>48598166</v>
      </c>
      <c r="I114" s="141">
        <v>66777983</v>
      </c>
      <c r="J114" s="141">
        <v>152280350</v>
      </c>
      <c r="K114" s="141">
        <v>122855106</v>
      </c>
      <c r="L114" s="141">
        <v>83722402</v>
      </c>
      <c r="M114" s="141">
        <v>209117810</v>
      </c>
      <c r="N114" s="141">
        <v>91941098</v>
      </c>
      <c r="O114" s="141">
        <v>62145255</v>
      </c>
      <c r="P114" s="141">
        <v>81116453</v>
      </c>
      <c r="Q114" s="141">
        <v>170692856</v>
      </c>
      <c r="R114" s="141">
        <v>82256994</v>
      </c>
      <c r="S114" s="141">
        <v>82838959</v>
      </c>
      <c r="T114" s="141">
        <v>57131562</v>
      </c>
      <c r="U114" s="141">
        <v>44849325</v>
      </c>
      <c r="V114" s="141">
        <v>35504732</v>
      </c>
      <c r="W114" s="141">
        <v>20571734</v>
      </c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120"/>
      <c r="BC114" s="25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</row>
    <row r="115" spans="1:200" ht="15" customHeight="1" x14ac:dyDescent="0.2">
      <c r="A115" s="2"/>
      <c r="B115" s="24" t="str">
        <f t="shared" si="3"/>
        <v>[ROW:DEC_2024]</v>
      </c>
      <c r="C115" s="29">
        <f>IF(OR(Client_Info!$D$14="",Client_Info!$D$15=""),"",IF(EOMONTH(Client_Info!$D$14,107)&lt;=Client_Info!$D$15,EOMONTH(Client_Info!$D$14,107),""))</f>
        <v>45657</v>
      </c>
      <c r="D115" s="141">
        <v>105027900</v>
      </c>
      <c r="E115" s="141">
        <v>88969855</v>
      </c>
      <c r="F115" s="141">
        <v>69979280</v>
      </c>
      <c r="G115" s="141">
        <v>58516722</v>
      </c>
      <c r="H115" s="141">
        <v>45602733</v>
      </c>
      <c r="I115" s="141">
        <v>71134801</v>
      </c>
      <c r="J115" s="141">
        <v>157349035</v>
      </c>
      <c r="K115" s="141">
        <v>123367050</v>
      </c>
      <c r="L115" s="141">
        <v>83927226</v>
      </c>
      <c r="M115" s="141">
        <v>211905620</v>
      </c>
      <c r="N115" s="141">
        <v>94282290</v>
      </c>
      <c r="O115" s="141">
        <v>62985659</v>
      </c>
      <c r="P115" s="141">
        <v>82561053</v>
      </c>
      <c r="Q115" s="141">
        <v>171477596</v>
      </c>
      <c r="R115" s="141">
        <v>81633763</v>
      </c>
      <c r="S115" s="141">
        <v>83192995</v>
      </c>
      <c r="T115" s="141">
        <v>57928958</v>
      </c>
      <c r="U115" s="141">
        <v>44655081</v>
      </c>
      <c r="V115" s="141">
        <v>35354937</v>
      </c>
      <c r="W115" s="141">
        <v>20644626</v>
      </c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120"/>
      <c r="BC115" s="25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</row>
    <row r="116" spans="1:200" ht="15" customHeight="1" x14ac:dyDescent="0.2">
      <c r="A116" s="2"/>
      <c r="B116" s="24" t="str">
        <f t="shared" si="3"/>
        <v>[ROW:JAN_2025]</v>
      </c>
      <c r="C116" s="29">
        <f>IF(OR(Client_Info!$D$14="",Client_Info!$D$15=""),"",IF(EOMONTH(Client_Info!$D$14,108)&lt;=Client_Info!$D$15,EOMONTH(Client_Info!$D$14,108),""))</f>
        <v>45688</v>
      </c>
      <c r="D116" s="141">
        <v>105976582</v>
      </c>
      <c r="E116" s="141">
        <v>90896531</v>
      </c>
      <c r="F116" s="141">
        <v>71442680</v>
      </c>
      <c r="G116" s="141">
        <v>56818332</v>
      </c>
      <c r="H116" s="141">
        <v>44897806</v>
      </c>
      <c r="I116" s="141">
        <v>68349869</v>
      </c>
      <c r="J116" s="141">
        <v>155745280</v>
      </c>
      <c r="K116" s="141">
        <v>123692842</v>
      </c>
      <c r="L116" s="141">
        <v>84552925</v>
      </c>
      <c r="M116" s="141">
        <v>202788494</v>
      </c>
      <c r="N116" s="141">
        <v>94302190</v>
      </c>
      <c r="O116" s="141">
        <v>63965470</v>
      </c>
      <c r="P116" s="141">
        <v>83286682</v>
      </c>
      <c r="Q116" s="141">
        <v>173591900</v>
      </c>
      <c r="R116" s="141">
        <v>85105928</v>
      </c>
      <c r="S116" s="141">
        <v>83715989</v>
      </c>
      <c r="T116" s="141">
        <v>59396380</v>
      </c>
      <c r="U116" s="141">
        <v>44877155</v>
      </c>
      <c r="V116" s="141">
        <v>35339716</v>
      </c>
      <c r="W116" s="141">
        <v>20719560</v>
      </c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120"/>
      <c r="BC116" s="25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</row>
    <row r="117" spans="1:200" ht="15" customHeight="1" x14ac:dyDescent="0.2">
      <c r="A117" s="2"/>
      <c r="B117" s="24" t="str">
        <f t="shared" si="3"/>
        <v>[ROW:FEB_2025]</v>
      </c>
      <c r="C117" s="29">
        <f>IF(OR(Client_Info!$D$14="",Client_Info!$D$15=""),"",IF(EOMONTH(Client_Info!$D$14,109)&lt;=Client_Info!$D$15,EOMONTH(Client_Info!$D$14,109),""))</f>
        <v>45716</v>
      </c>
      <c r="D117" s="141">
        <v>107046271</v>
      </c>
      <c r="E117" s="141">
        <v>91386539</v>
      </c>
      <c r="F117" s="141">
        <v>70321673</v>
      </c>
      <c r="G117" s="141">
        <v>56606151</v>
      </c>
      <c r="H117" s="141">
        <v>45185904</v>
      </c>
      <c r="I117" s="141">
        <v>65541253</v>
      </c>
      <c r="J117" s="141">
        <v>160317688</v>
      </c>
      <c r="K117" s="141">
        <v>127934932</v>
      </c>
      <c r="L117" s="141">
        <v>89766822</v>
      </c>
      <c r="M117" s="141">
        <v>213394556</v>
      </c>
      <c r="N117" s="141">
        <v>86089380</v>
      </c>
      <c r="O117" s="141">
        <v>64569471</v>
      </c>
      <c r="P117" s="141">
        <v>84619984</v>
      </c>
      <c r="Q117" s="141">
        <v>170354386</v>
      </c>
      <c r="R117" s="141">
        <v>85815394</v>
      </c>
      <c r="S117" s="141">
        <v>83803336</v>
      </c>
      <c r="T117" s="141">
        <v>60856473</v>
      </c>
      <c r="U117" s="141">
        <v>45435419</v>
      </c>
      <c r="V117" s="141">
        <v>36198944</v>
      </c>
      <c r="W117" s="141">
        <v>20796096</v>
      </c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120"/>
      <c r="BC117" s="25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</row>
    <row r="118" spans="1:200" ht="15" customHeight="1" x14ac:dyDescent="0.2">
      <c r="A118" s="2"/>
      <c r="B118" s="24" t="str">
        <f t="shared" si="3"/>
        <v>[ROW:MAR_2025]</v>
      </c>
      <c r="C118" s="29">
        <f>IF(OR(Client_Info!$D$14="",Client_Info!$D$15=""),"",IF(EOMONTH(Client_Info!$D$14,110)&lt;=Client_Info!$D$15,EOMONTH(Client_Info!$D$14,110),""))</f>
        <v>45747</v>
      </c>
      <c r="D118" s="141">
        <v>101542679</v>
      </c>
      <c r="E118" s="141">
        <v>85222233</v>
      </c>
      <c r="F118" s="141">
        <v>65091607</v>
      </c>
      <c r="G118" s="141">
        <v>57874873</v>
      </c>
      <c r="H118" s="141">
        <v>45117913</v>
      </c>
      <c r="I118" s="141">
        <v>65579247</v>
      </c>
      <c r="J118" s="141">
        <v>167325802</v>
      </c>
      <c r="K118" s="141">
        <v>136058611</v>
      </c>
      <c r="L118" s="141">
        <v>91998919</v>
      </c>
      <c r="M118" s="141">
        <v>211928498</v>
      </c>
      <c r="N118" s="141">
        <v>77834263</v>
      </c>
      <c r="O118" s="141">
        <v>64535390</v>
      </c>
      <c r="P118" s="141">
        <v>85062866</v>
      </c>
      <c r="Q118" s="141">
        <v>171776923</v>
      </c>
      <c r="R118" s="141">
        <v>87602120</v>
      </c>
      <c r="S118" s="141">
        <v>83169775</v>
      </c>
      <c r="T118" s="141">
        <v>61059710</v>
      </c>
      <c r="U118" s="141">
        <v>44666591</v>
      </c>
      <c r="V118" s="141">
        <v>35634235</v>
      </c>
      <c r="W118" s="141">
        <v>20874882</v>
      </c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120"/>
      <c r="BC118" s="25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</row>
    <row r="119" spans="1:200" ht="15" customHeight="1" x14ac:dyDescent="0.2">
      <c r="A119" s="2"/>
      <c r="B119" s="24" t="str">
        <f t="shared" si="3"/>
        <v>[ROW:APR_2025]</v>
      </c>
      <c r="C119" s="29">
        <f>IF(OR(Client_Info!$D$14="",Client_Info!$D$15=""),"",IF(EOMONTH(Client_Info!$D$14,111)&lt;=Client_Info!$D$15,EOMONTH(Client_Info!$D$14,111),""))</f>
        <v>45777</v>
      </c>
      <c r="D119" s="141">
        <v>105226994</v>
      </c>
      <c r="E119" s="141">
        <v>85384450</v>
      </c>
      <c r="F119" s="141">
        <v>67310135</v>
      </c>
      <c r="G119" s="141">
        <v>61337706</v>
      </c>
      <c r="H119" s="141">
        <v>47591174</v>
      </c>
      <c r="I119" s="141">
        <v>58772411</v>
      </c>
      <c r="J119" s="141">
        <v>169773343</v>
      </c>
      <c r="K119" s="141">
        <v>139989714</v>
      </c>
      <c r="L119" s="141">
        <v>93382050</v>
      </c>
      <c r="M119" s="141">
        <v>205227008</v>
      </c>
      <c r="N119" s="141">
        <v>72867554</v>
      </c>
      <c r="O119" s="141">
        <v>63745251</v>
      </c>
      <c r="P119" s="141">
        <v>86269244</v>
      </c>
      <c r="Q119" s="141">
        <v>167532511</v>
      </c>
      <c r="R119" s="141">
        <v>90117807</v>
      </c>
      <c r="S119" s="141">
        <v>83266564</v>
      </c>
      <c r="T119" s="141">
        <v>61018372</v>
      </c>
      <c r="U119" s="141">
        <v>44676224</v>
      </c>
      <c r="V119" s="141">
        <v>35634572</v>
      </c>
      <c r="W119" s="141">
        <v>20952379</v>
      </c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120"/>
      <c r="BC119" s="25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</row>
    <row r="120" spans="1:200" ht="15" customHeight="1" x14ac:dyDescent="0.2">
      <c r="A120" s="2"/>
      <c r="B120" s="24" t="str">
        <f t="shared" si="3"/>
        <v>[ROW:MAY_2025]</v>
      </c>
      <c r="C120" s="29">
        <f>IF(OR(Client_Info!$D$14="",Client_Info!$D$15=""),"",IF(EOMONTH(Client_Info!$D$14,112)&lt;=Client_Info!$D$15,EOMONTH(Client_Info!$D$14,112),""))</f>
        <v>45808</v>
      </c>
      <c r="D120" s="141">
        <v>107504348</v>
      </c>
      <c r="E120" s="141">
        <v>86896052</v>
      </c>
      <c r="F120" s="141">
        <v>68263214</v>
      </c>
      <c r="G120" s="141">
        <v>63343010</v>
      </c>
      <c r="H120" s="141">
        <v>48739304</v>
      </c>
      <c r="I120" s="141">
        <v>55076066</v>
      </c>
      <c r="J120" s="141">
        <v>170675854</v>
      </c>
      <c r="K120" s="141">
        <v>139255998</v>
      </c>
      <c r="L120" s="141">
        <v>89543333</v>
      </c>
      <c r="M120" s="141">
        <v>196654506</v>
      </c>
      <c r="N120" s="141">
        <v>68548516</v>
      </c>
      <c r="O120" s="141">
        <v>62487345</v>
      </c>
      <c r="P120" s="141">
        <v>86854288</v>
      </c>
      <c r="Q120" s="141">
        <v>166613956</v>
      </c>
      <c r="R120" s="141">
        <v>95809882</v>
      </c>
      <c r="S120" s="141">
        <v>84952547</v>
      </c>
      <c r="T120" s="141">
        <v>61328633</v>
      </c>
      <c r="U120" s="141">
        <v>45127827</v>
      </c>
      <c r="V120" s="141">
        <v>35350340</v>
      </c>
      <c r="W120" s="141">
        <v>21035543</v>
      </c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120"/>
      <c r="BC120" s="25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</row>
    <row r="121" spans="1:200" ht="15" customHeight="1" x14ac:dyDescent="0.2">
      <c r="A121" s="2"/>
      <c r="B121" s="24" t="str">
        <f t="shared" si="3"/>
        <v>[ROW:JUN_2025]</v>
      </c>
      <c r="C121" s="29">
        <f>IF(OR(Client_Info!$D$14="",Client_Info!$D$15=""),"",IF(EOMONTH(Client_Info!$D$14,113)&lt;=Client_Info!$D$15,EOMONTH(Client_Info!$D$14,113),""))</f>
        <v>45838</v>
      </c>
      <c r="D121" s="141">
        <v>120846866</v>
      </c>
      <c r="E121" s="141">
        <v>97316413</v>
      </c>
      <c r="F121" s="141">
        <v>76539541</v>
      </c>
      <c r="G121" s="141">
        <v>63328051</v>
      </c>
      <c r="H121" s="141">
        <v>48327549</v>
      </c>
      <c r="I121" s="141">
        <v>59221177</v>
      </c>
      <c r="J121" s="141">
        <v>174554199</v>
      </c>
      <c r="K121" s="141">
        <v>141308298</v>
      </c>
      <c r="L121" s="141">
        <v>89962805</v>
      </c>
      <c r="M121" s="141">
        <v>190215155</v>
      </c>
      <c r="N121" s="141">
        <v>63509100</v>
      </c>
      <c r="O121" s="141">
        <v>65350868</v>
      </c>
      <c r="P121" s="141">
        <v>86988635</v>
      </c>
      <c r="Q121" s="141">
        <v>166033278</v>
      </c>
      <c r="R121" s="141">
        <v>95248528</v>
      </c>
      <c r="S121" s="141">
        <v>82534988</v>
      </c>
      <c r="T121" s="141">
        <v>60370599</v>
      </c>
      <c r="U121" s="141">
        <v>45701958</v>
      </c>
      <c r="V121" s="141">
        <v>35692014</v>
      </c>
      <c r="W121" s="141">
        <v>21095708</v>
      </c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120"/>
      <c r="BC121" s="25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</row>
    <row r="122" spans="1:200" ht="15" customHeight="1" x14ac:dyDescent="0.2">
      <c r="A122" s="2"/>
      <c r="B122" s="24" t="str">
        <f t="shared" si="3"/>
        <v>[ROW:JUL_2025]</v>
      </c>
      <c r="C122" s="29">
        <f>IF(OR(Client_Info!$D$14="",Client_Info!$D$15=""),"",IF(EOMONTH(Client_Info!$D$14,114)&lt;=Client_Info!$D$15,EOMONTH(Client_Info!$D$14,114),""))</f>
        <v>45869</v>
      </c>
      <c r="D122" s="141">
        <v>118736924</v>
      </c>
      <c r="E122" s="141">
        <v>99079531</v>
      </c>
      <c r="F122" s="141">
        <v>75370906</v>
      </c>
      <c r="G122" s="141">
        <v>62853747</v>
      </c>
      <c r="H122" s="141">
        <v>48471168</v>
      </c>
      <c r="I122" s="141">
        <v>64644707</v>
      </c>
      <c r="J122" s="141">
        <v>185018826</v>
      </c>
      <c r="K122" s="141">
        <v>145409411</v>
      </c>
      <c r="L122" s="141">
        <v>92575821</v>
      </c>
      <c r="M122" s="141">
        <v>186459305</v>
      </c>
      <c r="N122" s="141">
        <v>64538510</v>
      </c>
      <c r="O122" s="141">
        <v>64785538</v>
      </c>
      <c r="P122" s="141">
        <v>87406298</v>
      </c>
      <c r="Q122" s="141">
        <v>159108412</v>
      </c>
      <c r="R122" s="141">
        <v>97552410</v>
      </c>
      <c r="S122" s="141">
        <v>83679258</v>
      </c>
      <c r="T122" s="141">
        <v>60082832</v>
      </c>
      <c r="U122" s="141">
        <v>45813814</v>
      </c>
      <c r="V122" s="141">
        <v>35786138</v>
      </c>
      <c r="W122" s="141">
        <v>21155486</v>
      </c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120"/>
      <c r="BC122" s="25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</row>
    <row r="123" spans="1:200" ht="15" customHeight="1" x14ac:dyDescent="0.2">
      <c r="A123" s="2"/>
      <c r="B123" s="24" t="str">
        <f t="shared" si="3"/>
        <v>[ROW:AUG_2025]</v>
      </c>
      <c r="C123" s="29">
        <f>IF(OR(Client_Info!$D$14="",Client_Info!$D$15=""),"",IF(EOMONTH(Client_Info!$D$14,115)&lt;=Client_Info!$D$15,EOMONTH(Client_Info!$D$14,115),""))</f>
        <v>45900</v>
      </c>
      <c r="D123" s="141">
        <v>120928546</v>
      </c>
      <c r="E123" s="141">
        <v>104002974</v>
      </c>
      <c r="F123" s="141">
        <v>76532445</v>
      </c>
      <c r="G123" s="141">
        <v>59885703</v>
      </c>
      <c r="H123" s="141">
        <v>46019492</v>
      </c>
      <c r="I123" s="141">
        <v>64625890</v>
      </c>
      <c r="J123" s="141">
        <v>196748509</v>
      </c>
      <c r="K123" s="141">
        <v>150920684</v>
      </c>
      <c r="L123" s="141">
        <v>94947802</v>
      </c>
      <c r="M123" s="141">
        <v>195082718</v>
      </c>
      <c r="N123" s="141">
        <v>67618473</v>
      </c>
      <c r="O123" s="141">
        <v>66222007</v>
      </c>
      <c r="P123" s="141">
        <v>86258632</v>
      </c>
      <c r="Q123" s="141">
        <v>158380121</v>
      </c>
      <c r="R123" s="141">
        <v>97519155</v>
      </c>
      <c r="S123" s="141">
        <v>84251275</v>
      </c>
      <c r="T123" s="141">
        <v>60506357</v>
      </c>
      <c r="U123" s="141">
        <v>45409261</v>
      </c>
      <c r="V123" s="141">
        <v>35597195</v>
      </c>
      <c r="W123" s="141">
        <v>21226182</v>
      </c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120"/>
      <c r="BC123" s="25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</row>
    <row r="124" spans="1:200" ht="15" customHeight="1" x14ac:dyDescent="0.2">
      <c r="A124" s="2"/>
      <c r="B124" s="24" t="str">
        <f t="shared" si="3"/>
        <v>[ROW:SEP_2025]</v>
      </c>
      <c r="C124" s="29">
        <f>IF(OR(Client_Info!$D$14="",Client_Info!$D$15=""),"",IF(EOMONTH(Client_Info!$D$14,116)&lt;=Client_Info!$D$15,EOMONTH(Client_Info!$D$14,116),""))</f>
        <v>45930</v>
      </c>
      <c r="D124" s="141">
        <v>121057584</v>
      </c>
      <c r="E124" s="141">
        <v>104694933</v>
      </c>
      <c r="F124" s="141">
        <v>76863941</v>
      </c>
      <c r="G124" s="141">
        <v>60660017</v>
      </c>
      <c r="H124" s="141">
        <v>45767351</v>
      </c>
      <c r="I124" s="141">
        <v>67153744</v>
      </c>
      <c r="J124" s="141">
        <v>203634696</v>
      </c>
      <c r="K124" s="141">
        <v>156066524</v>
      </c>
      <c r="L124" s="141">
        <v>96081524</v>
      </c>
      <c r="M124" s="141">
        <v>209255504</v>
      </c>
      <c r="N124" s="141">
        <v>71234694</v>
      </c>
      <c r="O124" s="141">
        <v>67723508</v>
      </c>
      <c r="P124" s="141">
        <v>85184191</v>
      </c>
      <c r="Q124" s="141">
        <v>162178512</v>
      </c>
      <c r="R124" s="141">
        <v>94918857</v>
      </c>
      <c r="S124" s="141">
        <v>87490045</v>
      </c>
      <c r="T124" s="141">
        <v>62171344</v>
      </c>
      <c r="U124" s="141">
        <v>45337216</v>
      </c>
      <c r="V124" s="141">
        <v>35489315</v>
      </c>
      <c r="W124" s="141">
        <v>21306071</v>
      </c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120"/>
      <c r="BC124" s="25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</row>
    <row r="125" spans="1:200" ht="15" customHeight="1" x14ac:dyDescent="0.2">
      <c r="A125" s="2"/>
      <c r="B125" s="24" t="str">
        <f t="shared" si="3"/>
        <v>[ROW:OCT_2025]</v>
      </c>
      <c r="C125" s="29">
        <f>IF(OR(Client_Info!$D$14="",Client_Info!$D$15=""),"",IF(EOMONTH(Client_Info!$D$14,117)&lt;=Client_Info!$D$15,EOMONTH(Client_Info!$D$14,117),""))</f>
        <v>45961</v>
      </c>
      <c r="D125" s="141">
        <v>115475921</v>
      </c>
      <c r="E125" s="141">
        <v>100128109</v>
      </c>
      <c r="F125" s="141">
        <v>73486457</v>
      </c>
      <c r="G125" s="141">
        <v>59501544</v>
      </c>
      <c r="H125" s="141">
        <v>44978950</v>
      </c>
      <c r="I125" s="141">
        <v>66620333</v>
      </c>
      <c r="J125" s="141">
        <v>209902362</v>
      </c>
      <c r="K125" s="141">
        <v>156552431</v>
      </c>
      <c r="L125" s="141">
        <v>96095712</v>
      </c>
      <c r="M125" s="141">
        <v>203844360</v>
      </c>
      <c r="N125" s="141">
        <v>69724955</v>
      </c>
      <c r="O125" s="141">
        <v>67579045</v>
      </c>
      <c r="P125" s="141">
        <v>83458492</v>
      </c>
      <c r="Q125" s="141">
        <v>159549328</v>
      </c>
      <c r="R125" s="141">
        <v>96350556</v>
      </c>
      <c r="S125" s="141">
        <v>92252381</v>
      </c>
      <c r="T125" s="141">
        <v>62187793</v>
      </c>
      <c r="U125" s="141">
        <v>44986814</v>
      </c>
      <c r="V125" s="141">
        <v>34849380</v>
      </c>
      <c r="W125" s="141">
        <v>21369076</v>
      </c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120"/>
      <c r="BC125" s="25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</row>
    <row r="126" spans="1:200" ht="15" customHeight="1" x14ac:dyDescent="0.2">
      <c r="A126" s="2"/>
      <c r="B126" s="24" t="str">
        <f t="shared" si="3"/>
        <v>[ROW:NOV_2025]</v>
      </c>
      <c r="C126" s="29">
        <f>IF(OR(Client_Info!$D$14="",Client_Info!$D$15=""),"",IF(EOMONTH(Client_Info!$D$14,118)&lt;=Client_Info!$D$15,EOMONTH(Client_Info!$D$14,118),""))</f>
        <v>45991</v>
      </c>
      <c r="D126" s="141">
        <v>122313341</v>
      </c>
      <c r="E126" s="141">
        <v>105946771</v>
      </c>
      <c r="F126" s="141">
        <v>79309128</v>
      </c>
      <c r="G126" s="141">
        <v>61082486</v>
      </c>
      <c r="H126" s="141">
        <v>45865935</v>
      </c>
      <c r="I126" s="141">
        <v>77584916</v>
      </c>
      <c r="J126" s="141">
        <v>207069659</v>
      </c>
      <c r="K126" s="141">
        <v>154619448</v>
      </c>
      <c r="L126" s="141">
        <v>97004737</v>
      </c>
      <c r="M126" s="141">
        <v>213545124</v>
      </c>
      <c r="N126" s="141">
        <v>74554838</v>
      </c>
      <c r="O126" s="141">
        <v>68646475</v>
      </c>
      <c r="P126" s="141">
        <v>85529913</v>
      </c>
      <c r="Q126" s="141">
        <v>164758908</v>
      </c>
      <c r="R126" s="141">
        <v>96362899</v>
      </c>
      <c r="S126" s="141">
        <v>93135675</v>
      </c>
      <c r="T126" s="141">
        <v>63126988</v>
      </c>
      <c r="U126" s="141">
        <v>45875785</v>
      </c>
      <c r="V126" s="141">
        <v>35300071</v>
      </c>
      <c r="W126" s="141">
        <v>21422563</v>
      </c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120"/>
      <c r="BC126" s="25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</row>
    <row r="127" spans="1:200" ht="15" customHeight="1" x14ac:dyDescent="0.2">
      <c r="A127" s="2"/>
      <c r="B127" s="24" t="str">
        <f t="shared" si="3"/>
        <v>[ROW:DEC_2025]</v>
      </c>
      <c r="C127" s="29">
        <f>IF(OR(Client_Info!$D$14="",Client_Info!$D$15=""),"",IF(EOMONTH(Client_Info!$D$14,119)&lt;=Client_Info!$D$15,EOMONTH(Client_Info!$D$14,119),""))</f>
        <v>46022</v>
      </c>
      <c r="D127" s="141">
        <v>127056052</v>
      </c>
      <c r="E127" s="141">
        <v>109191883</v>
      </c>
      <c r="F127" s="141">
        <v>83422039</v>
      </c>
      <c r="G127" s="141">
        <v>59722957</v>
      </c>
      <c r="H127" s="141">
        <v>44574893</v>
      </c>
      <c r="I127" s="141">
        <v>81759178</v>
      </c>
      <c r="J127" s="141">
        <v>209494686</v>
      </c>
      <c r="K127" s="141">
        <v>156689843</v>
      </c>
      <c r="L127" s="141">
        <v>97024150</v>
      </c>
      <c r="M127" s="141">
        <v>216363897</v>
      </c>
      <c r="N127" s="141">
        <v>79775676</v>
      </c>
      <c r="O127" s="141">
        <v>70231052</v>
      </c>
      <c r="P127" s="141">
        <v>87010540</v>
      </c>
      <c r="Q127" s="141">
        <v>175141314</v>
      </c>
      <c r="R127" s="141">
        <v>96296559</v>
      </c>
      <c r="S127" s="141">
        <v>94436082</v>
      </c>
      <c r="T127" s="141">
        <v>63154258</v>
      </c>
      <c r="U127" s="141">
        <v>46038795</v>
      </c>
      <c r="V127" s="141">
        <v>35343546</v>
      </c>
      <c r="W127" s="141">
        <v>21497503</v>
      </c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120"/>
      <c r="BC127" s="25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</row>
    <row r="128" spans="1:200" ht="15" customHeight="1" x14ac:dyDescent="0.2">
      <c r="A128" s="2"/>
      <c r="B128" s="24" t="str">
        <f t="shared" si="3"/>
        <v/>
      </c>
      <c r="C128" s="29" t="str">
        <f>IF(OR(Client_Info!$D$14="",Client_Info!$D$15=""),"",IF(EOMONTH(Client_Info!$D$14,120)&lt;=Client_Info!$D$15,EOMONTH(Client_Info!$D$14,120),""))</f>
        <v/>
      </c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120"/>
      <c r="BC128" s="25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</row>
    <row r="129" spans="1:200" ht="15" customHeight="1" x14ac:dyDescent="0.2">
      <c r="A129" s="2"/>
      <c r="B129" s="24" t="str">
        <f t="shared" si="3"/>
        <v/>
      </c>
      <c r="C129" s="29" t="str">
        <f>IF(OR(Client_Info!$D$14="",Client_Info!$D$15=""),"",IF(EOMONTH(Client_Info!$D$14,121)&lt;=Client_Info!$D$15,EOMONTH(Client_Info!$D$14,121),""))</f>
        <v/>
      </c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120"/>
      <c r="BC129" s="25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</row>
    <row r="130" spans="1:200" ht="15" customHeight="1" x14ac:dyDescent="0.2">
      <c r="A130" s="2"/>
      <c r="B130" s="24" t="str">
        <f t="shared" si="3"/>
        <v/>
      </c>
      <c r="C130" s="29" t="str">
        <f>IF(OR(Client_Info!$D$14="",Client_Info!$D$15=""),"",IF(EOMONTH(Client_Info!$D$14,122)&lt;=Client_Info!$D$15,EOMONTH(Client_Info!$D$14,122),""))</f>
        <v/>
      </c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120"/>
      <c r="BC130" s="25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</row>
    <row r="131" spans="1:200" ht="15" customHeight="1" x14ac:dyDescent="0.2">
      <c r="A131" s="2"/>
      <c r="B131" s="24" t="str">
        <f t="shared" si="3"/>
        <v/>
      </c>
      <c r="C131" s="29" t="str">
        <f>IF(OR(Client_Info!$D$14="",Client_Info!$D$15=""),"",IF(EOMONTH(Client_Info!$D$14,123)&lt;=Client_Info!$D$15,EOMONTH(Client_Info!$D$14,123),""))</f>
        <v/>
      </c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120"/>
      <c r="BC131" s="25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</row>
    <row r="132" spans="1:200" ht="15" customHeight="1" x14ac:dyDescent="0.2">
      <c r="A132" s="2"/>
      <c r="B132" s="24" t="str">
        <f t="shared" si="3"/>
        <v/>
      </c>
      <c r="C132" s="29" t="str">
        <f>IF(OR(Client_Info!$D$14="",Client_Info!$D$15=""),"",IF(EOMONTH(Client_Info!$D$14,124)&lt;=Client_Info!$D$15,EOMONTH(Client_Info!$D$14,124),""))</f>
        <v/>
      </c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120"/>
      <c r="BC132" s="25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</row>
    <row r="133" spans="1:200" ht="15" customHeight="1" x14ac:dyDescent="0.2">
      <c r="A133" s="2"/>
      <c r="B133" s="24" t="str">
        <f t="shared" si="3"/>
        <v/>
      </c>
      <c r="C133" s="29" t="str">
        <f>IF(OR(Client_Info!$D$14="",Client_Info!$D$15=""),"",IF(EOMONTH(Client_Info!$D$14,125)&lt;=Client_Info!$D$15,EOMONTH(Client_Info!$D$14,125),""))</f>
        <v/>
      </c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120"/>
      <c r="BC133" s="25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</row>
    <row r="134" spans="1:200" ht="15" customHeight="1" x14ac:dyDescent="0.2">
      <c r="A134" s="2"/>
      <c r="B134" s="24" t="str">
        <f t="shared" si="3"/>
        <v/>
      </c>
      <c r="C134" s="29" t="str">
        <f>IF(OR(Client_Info!$D$14="",Client_Info!$D$15=""),"",IF(EOMONTH(Client_Info!$D$14,126)&lt;=Client_Info!$D$15,EOMONTH(Client_Info!$D$14,126),""))</f>
        <v/>
      </c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120"/>
      <c r="BC134" s="25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</row>
    <row r="135" spans="1:200" ht="15" customHeight="1" x14ac:dyDescent="0.2">
      <c r="A135" s="2"/>
      <c r="B135" s="24" t="str">
        <f t="shared" si="3"/>
        <v/>
      </c>
      <c r="C135" s="29" t="str">
        <f>IF(OR(Client_Info!$D$14="",Client_Info!$D$15=""),"",IF(EOMONTH(Client_Info!$D$14,127)&lt;=Client_Info!$D$15,EOMONTH(Client_Info!$D$14,127),""))</f>
        <v/>
      </c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120"/>
      <c r="BC135" s="25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</row>
    <row r="136" spans="1:200" ht="15" customHeight="1" x14ac:dyDescent="0.2">
      <c r="A136" s="2"/>
      <c r="B136" s="24" t="str">
        <f t="shared" ref="B136:B167" si="4">IF(C136="","","[ROW:"&amp;UPPER(TEXT(C136,"MMM"))&amp;"_"&amp;TEXT(C136,"YYYY")&amp;"]")</f>
        <v/>
      </c>
      <c r="C136" s="29" t="str">
        <f>IF(OR(Client_Info!$D$14="",Client_Info!$D$15=""),"",IF(EOMONTH(Client_Info!$D$14,128)&lt;=Client_Info!$D$15,EOMONTH(Client_Info!$D$14,128),""))</f>
        <v/>
      </c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120"/>
      <c r="BC136" s="25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</row>
    <row r="137" spans="1:200" ht="15" customHeight="1" x14ac:dyDescent="0.2">
      <c r="A137" s="2"/>
      <c r="B137" s="24" t="str">
        <f t="shared" si="4"/>
        <v/>
      </c>
      <c r="C137" s="29" t="str">
        <f>IF(OR(Client_Info!$D$14="",Client_Info!$D$15=""),"",IF(EOMONTH(Client_Info!$D$14,129)&lt;=Client_Info!$D$15,EOMONTH(Client_Info!$D$14,129),""))</f>
        <v/>
      </c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120"/>
      <c r="BC137" s="25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</row>
    <row r="138" spans="1:200" ht="15" customHeight="1" x14ac:dyDescent="0.2">
      <c r="A138" s="2"/>
      <c r="B138" s="24" t="str">
        <f t="shared" si="4"/>
        <v/>
      </c>
      <c r="C138" s="29" t="str">
        <f>IF(OR(Client_Info!$D$14="",Client_Info!$D$15=""),"",IF(EOMONTH(Client_Info!$D$14,130)&lt;=Client_Info!$D$15,EOMONTH(Client_Info!$D$14,130),""))</f>
        <v/>
      </c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120"/>
      <c r="BC138" s="25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</row>
    <row r="139" spans="1:200" ht="15" customHeight="1" x14ac:dyDescent="0.2">
      <c r="A139" s="2"/>
      <c r="B139" s="24" t="str">
        <f t="shared" si="4"/>
        <v/>
      </c>
      <c r="C139" s="29" t="str">
        <f>IF(OR(Client_Info!$D$14="",Client_Info!$D$15=""),"",IF(EOMONTH(Client_Info!$D$14,131)&lt;=Client_Info!$D$15,EOMONTH(Client_Info!$D$14,131),""))</f>
        <v/>
      </c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120"/>
      <c r="BC139" s="25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</row>
    <row r="140" spans="1:200" ht="15" customHeight="1" x14ac:dyDescent="0.2">
      <c r="A140" s="2"/>
      <c r="B140" s="24" t="str">
        <f t="shared" si="4"/>
        <v/>
      </c>
      <c r="C140" s="29" t="str">
        <f>IF(OR(Client_Info!$D$14="",Client_Info!$D$15=""),"",IF(EOMONTH(Client_Info!$D$14,132)&lt;=Client_Info!$D$15,EOMONTH(Client_Info!$D$14,132),""))</f>
        <v/>
      </c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120"/>
      <c r="BC140" s="25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</row>
    <row r="141" spans="1:200" ht="15" customHeight="1" x14ac:dyDescent="0.2">
      <c r="A141" s="2"/>
      <c r="B141" s="24" t="str">
        <f t="shared" si="4"/>
        <v/>
      </c>
      <c r="C141" s="29" t="str">
        <f>IF(OR(Client_Info!$D$14="",Client_Info!$D$15=""),"",IF(EOMONTH(Client_Info!$D$14,133)&lt;=Client_Info!$D$15,EOMONTH(Client_Info!$D$14,133),""))</f>
        <v/>
      </c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120"/>
      <c r="BC141" s="25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</row>
    <row r="142" spans="1:200" ht="15" customHeight="1" x14ac:dyDescent="0.2">
      <c r="A142" s="2"/>
      <c r="B142" s="24" t="str">
        <f t="shared" si="4"/>
        <v/>
      </c>
      <c r="C142" s="29" t="str">
        <f>IF(OR(Client_Info!$D$14="",Client_Info!$D$15=""),"",IF(EOMONTH(Client_Info!$D$14,134)&lt;=Client_Info!$D$15,EOMONTH(Client_Info!$D$14,134),""))</f>
        <v/>
      </c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120"/>
      <c r="BC142" s="25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</row>
    <row r="143" spans="1:200" ht="15" customHeight="1" x14ac:dyDescent="0.2">
      <c r="A143" s="2"/>
      <c r="B143" s="24" t="str">
        <f t="shared" si="4"/>
        <v/>
      </c>
      <c r="C143" s="29" t="str">
        <f>IF(OR(Client_Info!$D$14="",Client_Info!$D$15=""),"",IF(EOMONTH(Client_Info!$D$14,135)&lt;=Client_Info!$D$15,EOMONTH(Client_Info!$D$14,135),""))</f>
        <v/>
      </c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120"/>
      <c r="BC143" s="25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</row>
    <row r="144" spans="1:200" ht="15" customHeight="1" x14ac:dyDescent="0.2">
      <c r="A144" s="2"/>
      <c r="B144" s="24" t="str">
        <f t="shared" si="4"/>
        <v/>
      </c>
      <c r="C144" s="29" t="str">
        <f>IF(OR(Client_Info!$D$14="",Client_Info!$D$15=""),"",IF(EOMONTH(Client_Info!$D$14,136)&lt;=Client_Info!$D$15,EOMONTH(Client_Info!$D$14,136),""))</f>
        <v/>
      </c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120"/>
      <c r="BC144" s="25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</row>
    <row r="145" spans="1:200" ht="15" customHeight="1" x14ac:dyDescent="0.2">
      <c r="A145" s="2"/>
      <c r="B145" s="24" t="str">
        <f t="shared" si="4"/>
        <v/>
      </c>
      <c r="C145" s="29" t="str">
        <f>IF(OR(Client_Info!$D$14="",Client_Info!$D$15=""),"",IF(EOMONTH(Client_Info!$D$14,137)&lt;=Client_Info!$D$15,EOMONTH(Client_Info!$D$14,137),""))</f>
        <v/>
      </c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120"/>
      <c r="BC145" s="25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</row>
    <row r="146" spans="1:200" ht="15" customHeight="1" x14ac:dyDescent="0.2">
      <c r="A146" s="2"/>
      <c r="B146" s="24" t="str">
        <f t="shared" si="4"/>
        <v/>
      </c>
      <c r="C146" s="29" t="str">
        <f>IF(OR(Client_Info!$D$14="",Client_Info!$D$15=""),"",IF(EOMONTH(Client_Info!$D$14,138)&lt;=Client_Info!$D$15,EOMONTH(Client_Info!$D$14,138),""))</f>
        <v/>
      </c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120"/>
      <c r="BC146" s="25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</row>
    <row r="147" spans="1:200" ht="15" customHeight="1" x14ac:dyDescent="0.2">
      <c r="A147" s="2"/>
      <c r="B147" s="24" t="str">
        <f t="shared" si="4"/>
        <v/>
      </c>
      <c r="C147" s="29" t="str">
        <f>IF(OR(Client_Info!$D$14="",Client_Info!$D$15=""),"",IF(EOMONTH(Client_Info!$D$14,139)&lt;=Client_Info!$D$15,EOMONTH(Client_Info!$D$14,139),""))</f>
        <v/>
      </c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120"/>
      <c r="BC147" s="25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</row>
    <row r="148" spans="1:200" ht="15" customHeight="1" x14ac:dyDescent="0.2">
      <c r="A148" s="2"/>
      <c r="B148" s="24" t="str">
        <f t="shared" si="4"/>
        <v/>
      </c>
      <c r="C148" s="29" t="str">
        <f>IF(OR(Client_Info!$D$14="",Client_Info!$D$15=""),"",IF(EOMONTH(Client_Info!$D$14,140)&lt;=Client_Info!$D$15,EOMONTH(Client_Info!$D$14,140),""))</f>
        <v/>
      </c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120"/>
      <c r="BC148" s="25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</row>
    <row r="149" spans="1:200" ht="15" customHeight="1" x14ac:dyDescent="0.2">
      <c r="A149" s="2"/>
      <c r="B149" s="24" t="str">
        <f t="shared" si="4"/>
        <v/>
      </c>
      <c r="C149" s="29" t="str">
        <f>IF(OR(Client_Info!$D$14="",Client_Info!$D$15=""),"",IF(EOMONTH(Client_Info!$D$14,141)&lt;=Client_Info!$D$15,EOMONTH(Client_Info!$D$14,141),""))</f>
        <v/>
      </c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120"/>
      <c r="BC149" s="25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</row>
    <row r="150" spans="1:200" ht="15" customHeight="1" x14ac:dyDescent="0.2">
      <c r="A150" s="2"/>
      <c r="B150" s="24" t="str">
        <f t="shared" si="4"/>
        <v/>
      </c>
      <c r="C150" s="29" t="str">
        <f>IF(OR(Client_Info!$D$14="",Client_Info!$D$15=""),"",IF(EOMONTH(Client_Info!$D$14,142)&lt;=Client_Info!$D$15,EOMONTH(Client_Info!$D$14,142),""))</f>
        <v/>
      </c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120"/>
      <c r="BC150" s="25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</row>
    <row r="151" spans="1:200" ht="15" customHeight="1" x14ac:dyDescent="0.2">
      <c r="A151" s="2"/>
      <c r="B151" s="24" t="str">
        <f t="shared" si="4"/>
        <v/>
      </c>
      <c r="C151" s="29" t="str">
        <f>IF(OR(Client_Info!$D$14="",Client_Info!$D$15=""),"",IF(EOMONTH(Client_Info!$D$14,143)&lt;=Client_Info!$D$15,EOMONTH(Client_Info!$D$14,143),""))</f>
        <v/>
      </c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120"/>
      <c r="BC151" s="25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</row>
    <row r="152" spans="1:200" ht="15" customHeight="1" x14ac:dyDescent="0.2">
      <c r="A152" s="2"/>
      <c r="B152" s="24" t="str">
        <f t="shared" si="4"/>
        <v/>
      </c>
      <c r="C152" s="29" t="str">
        <f>IF(OR(Client_Info!$D$14="",Client_Info!$D$15=""),"",IF(EOMONTH(Client_Info!$D$14,144)&lt;=Client_Info!$D$15,EOMONTH(Client_Info!$D$14,144),""))</f>
        <v/>
      </c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120"/>
      <c r="BC152" s="25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</row>
    <row r="153" spans="1:200" ht="15" customHeight="1" x14ac:dyDescent="0.2">
      <c r="A153" s="2"/>
      <c r="B153" s="24" t="str">
        <f t="shared" si="4"/>
        <v/>
      </c>
      <c r="C153" s="29" t="str">
        <f>IF(OR(Client_Info!$D$14="",Client_Info!$D$15=""),"",IF(EOMONTH(Client_Info!$D$14,145)&lt;=Client_Info!$D$15,EOMONTH(Client_Info!$D$14,145),""))</f>
        <v/>
      </c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120"/>
      <c r="BC153" s="25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</row>
    <row r="154" spans="1:200" ht="15" customHeight="1" x14ac:dyDescent="0.2">
      <c r="A154" s="2"/>
      <c r="B154" s="24" t="str">
        <f t="shared" si="4"/>
        <v/>
      </c>
      <c r="C154" s="29" t="str">
        <f>IF(OR(Client_Info!$D$14="",Client_Info!$D$15=""),"",IF(EOMONTH(Client_Info!$D$14,146)&lt;=Client_Info!$D$15,EOMONTH(Client_Info!$D$14,146),""))</f>
        <v/>
      </c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120"/>
      <c r="BC154" s="25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</row>
    <row r="155" spans="1:200" ht="15" customHeight="1" x14ac:dyDescent="0.2">
      <c r="A155" s="2"/>
      <c r="B155" s="24" t="str">
        <f t="shared" si="4"/>
        <v/>
      </c>
      <c r="C155" s="29" t="str">
        <f>IF(OR(Client_Info!$D$14="",Client_Info!$D$15=""),"",IF(EOMONTH(Client_Info!$D$14,147)&lt;=Client_Info!$D$15,EOMONTH(Client_Info!$D$14,147),""))</f>
        <v/>
      </c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120"/>
      <c r="BC155" s="25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</row>
    <row r="156" spans="1:200" ht="15" customHeight="1" x14ac:dyDescent="0.2">
      <c r="A156" s="2"/>
      <c r="B156" s="24" t="str">
        <f t="shared" si="4"/>
        <v/>
      </c>
      <c r="C156" s="29" t="str">
        <f>IF(OR(Client_Info!$D$14="",Client_Info!$D$15=""),"",IF(EOMONTH(Client_Info!$D$14,148)&lt;=Client_Info!$D$15,EOMONTH(Client_Info!$D$14,148),""))</f>
        <v/>
      </c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120"/>
      <c r="BC156" s="25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</row>
    <row r="157" spans="1:200" ht="15" customHeight="1" x14ac:dyDescent="0.2">
      <c r="A157" s="2"/>
      <c r="B157" s="24" t="str">
        <f t="shared" si="4"/>
        <v/>
      </c>
      <c r="C157" s="29" t="str">
        <f>IF(OR(Client_Info!$D$14="",Client_Info!$D$15=""),"",IF(EOMONTH(Client_Info!$D$14,149)&lt;=Client_Info!$D$15,EOMONTH(Client_Info!$D$14,149),""))</f>
        <v/>
      </c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120"/>
      <c r="BC157" s="25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</row>
    <row r="158" spans="1:200" ht="15" customHeight="1" x14ac:dyDescent="0.2">
      <c r="A158" s="2"/>
      <c r="B158" s="24" t="str">
        <f t="shared" si="4"/>
        <v/>
      </c>
      <c r="C158" s="29" t="str">
        <f>IF(OR(Client_Info!$D$14="",Client_Info!$D$15=""),"",IF(EOMONTH(Client_Info!$D$14,150)&lt;=Client_Info!$D$15,EOMONTH(Client_Info!$D$14,150),""))</f>
        <v/>
      </c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120"/>
      <c r="BC158" s="25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</row>
    <row r="159" spans="1:200" ht="15" customHeight="1" x14ac:dyDescent="0.2">
      <c r="A159" s="2"/>
      <c r="B159" s="24" t="str">
        <f t="shared" si="4"/>
        <v/>
      </c>
      <c r="C159" s="29" t="str">
        <f>IF(OR(Client_Info!$D$14="",Client_Info!$D$15=""),"",IF(EOMONTH(Client_Info!$D$14,151)&lt;=Client_Info!$D$15,EOMONTH(Client_Info!$D$14,151),""))</f>
        <v/>
      </c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120"/>
      <c r="BC159" s="25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</row>
    <row r="160" spans="1:200" ht="15" customHeight="1" x14ac:dyDescent="0.2">
      <c r="A160" s="2"/>
      <c r="B160" s="24" t="str">
        <f t="shared" si="4"/>
        <v/>
      </c>
      <c r="C160" s="29" t="str">
        <f>IF(OR(Client_Info!$D$14="",Client_Info!$D$15=""),"",IF(EOMONTH(Client_Info!$D$14,152)&lt;=Client_Info!$D$15,EOMONTH(Client_Info!$D$14,152),""))</f>
        <v/>
      </c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120"/>
      <c r="BC160" s="25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</row>
    <row r="161" spans="1:200" ht="15" customHeight="1" x14ac:dyDescent="0.2">
      <c r="A161" s="2"/>
      <c r="B161" s="24" t="str">
        <f t="shared" si="4"/>
        <v/>
      </c>
      <c r="C161" s="29" t="str">
        <f>IF(OR(Client_Info!$D$14="",Client_Info!$D$15=""),"",IF(EOMONTH(Client_Info!$D$14,153)&lt;=Client_Info!$D$15,EOMONTH(Client_Info!$D$14,153),""))</f>
        <v/>
      </c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120"/>
      <c r="BC161" s="25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</row>
    <row r="162" spans="1:200" ht="15" customHeight="1" x14ac:dyDescent="0.2">
      <c r="A162" s="2"/>
      <c r="B162" s="24" t="str">
        <f t="shared" si="4"/>
        <v/>
      </c>
      <c r="C162" s="29" t="str">
        <f>IF(OR(Client_Info!$D$14="",Client_Info!$D$15=""),"",IF(EOMONTH(Client_Info!$D$14,154)&lt;=Client_Info!$D$15,EOMONTH(Client_Info!$D$14,154),""))</f>
        <v/>
      </c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120"/>
      <c r="BC162" s="25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</row>
    <row r="163" spans="1:200" ht="15" customHeight="1" x14ac:dyDescent="0.2">
      <c r="A163" s="2"/>
      <c r="B163" s="24" t="str">
        <f t="shared" si="4"/>
        <v/>
      </c>
      <c r="C163" s="29" t="str">
        <f>IF(OR(Client_Info!$D$14="",Client_Info!$D$15=""),"",IF(EOMONTH(Client_Info!$D$14,155)&lt;=Client_Info!$D$15,EOMONTH(Client_Info!$D$14,155),""))</f>
        <v/>
      </c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120"/>
      <c r="BC163" s="25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</row>
    <row r="164" spans="1:200" ht="15" customHeight="1" x14ac:dyDescent="0.2">
      <c r="A164" s="2"/>
      <c r="B164" s="24" t="str">
        <f t="shared" si="4"/>
        <v/>
      </c>
      <c r="C164" s="29" t="str">
        <f>IF(OR(Client_Info!$D$14="",Client_Info!$D$15=""),"",IF(EOMONTH(Client_Info!$D$14,156)&lt;=Client_Info!$D$15,EOMONTH(Client_Info!$D$14,156),""))</f>
        <v/>
      </c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120"/>
      <c r="BC164" s="25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</row>
    <row r="165" spans="1:200" ht="15" customHeight="1" x14ac:dyDescent="0.2">
      <c r="A165" s="2"/>
      <c r="B165" s="24" t="str">
        <f t="shared" si="4"/>
        <v/>
      </c>
      <c r="C165" s="29" t="str">
        <f>IF(OR(Client_Info!$D$14="",Client_Info!$D$15=""),"",IF(EOMONTH(Client_Info!$D$14,157)&lt;=Client_Info!$D$15,EOMONTH(Client_Info!$D$14,157),""))</f>
        <v/>
      </c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120"/>
      <c r="BC165" s="25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</row>
    <row r="166" spans="1:200" ht="15" customHeight="1" x14ac:dyDescent="0.2">
      <c r="A166" s="2"/>
      <c r="B166" s="24" t="str">
        <f t="shared" si="4"/>
        <v/>
      </c>
      <c r="C166" s="29" t="str">
        <f>IF(OR(Client_Info!$D$14="",Client_Info!$D$15=""),"",IF(EOMONTH(Client_Info!$D$14,158)&lt;=Client_Info!$D$15,EOMONTH(Client_Info!$D$14,158),""))</f>
        <v/>
      </c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120"/>
      <c r="BC166" s="25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</row>
    <row r="167" spans="1:200" ht="15" customHeight="1" x14ac:dyDescent="0.2">
      <c r="A167" s="2"/>
      <c r="B167" s="24" t="str">
        <f t="shared" si="4"/>
        <v/>
      </c>
      <c r="C167" s="29" t="str">
        <f>IF(OR(Client_Info!$D$14="",Client_Info!$D$15=""),"",IF(EOMONTH(Client_Info!$D$14,159)&lt;=Client_Info!$D$15,EOMONTH(Client_Info!$D$14,159),""))</f>
        <v/>
      </c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120"/>
      <c r="BC167" s="25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</row>
    <row r="168" spans="1:200" ht="15" customHeight="1" x14ac:dyDescent="0.2">
      <c r="A168" s="2"/>
      <c r="B168" s="24" t="str">
        <f t="shared" ref="B168:B199" si="5">IF(C168="","","[ROW:"&amp;UPPER(TEXT(C168,"MMM"))&amp;"_"&amp;TEXT(C168,"YYYY")&amp;"]")</f>
        <v/>
      </c>
      <c r="C168" s="29" t="str">
        <f>IF(OR(Client_Info!$D$14="",Client_Info!$D$15=""),"",IF(EOMONTH(Client_Info!$D$14,160)&lt;=Client_Info!$D$15,EOMONTH(Client_Info!$D$14,160),""))</f>
        <v/>
      </c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120"/>
      <c r="BC168" s="25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</row>
    <row r="169" spans="1:200" ht="15" customHeight="1" x14ac:dyDescent="0.2">
      <c r="A169" s="2"/>
      <c r="B169" s="24" t="str">
        <f t="shared" si="5"/>
        <v/>
      </c>
      <c r="C169" s="29" t="str">
        <f>IF(OR(Client_Info!$D$14="",Client_Info!$D$15=""),"",IF(EOMONTH(Client_Info!$D$14,161)&lt;=Client_Info!$D$15,EOMONTH(Client_Info!$D$14,161),""))</f>
        <v/>
      </c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120"/>
      <c r="BC169" s="25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</row>
    <row r="170" spans="1:200" ht="15" customHeight="1" x14ac:dyDescent="0.2">
      <c r="A170" s="2"/>
      <c r="B170" s="24" t="str">
        <f t="shared" si="5"/>
        <v/>
      </c>
      <c r="C170" s="29" t="str">
        <f>IF(OR(Client_Info!$D$14="",Client_Info!$D$15=""),"",IF(EOMONTH(Client_Info!$D$14,162)&lt;=Client_Info!$D$15,EOMONTH(Client_Info!$D$14,162),""))</f>
        <v/>
      </c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120"/>
      <c r="BC170" s="25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</row>
    <row r="171" spans="1:200" ht="15" customHeight="1" x14ac:dyDescent="0.2">
      <c r="A171" s="2"/>
      <c r="B171" s="24" t="str">
        <f t="shared" si="5"/>
        <v/>
      </c>
      <c r="C171" s="29" t="str">
        <f>IF(OR(Client_Info!$D$14="",Client_Info!$D$15=""),"",IF(EOMONTH(Client_Info!$D$14,163)&lt;=Client_Info!$D$15,EOMONTH(Client_Info!$D$14,163),""))</f>
        <v/>
      </c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120"/>
      <c r="BC171" s="25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</row>
    <row r="172" spans="1:200" ht="15" customHeight="1" x14ac:dyDescent="0.2">
      <c r="A172" s="2"/>
      <c r="B172" s="24" t="str">
        <f t="shared" si="5"/>
        <v/>
      </c>
      <c r="C172" s="29" t="str">
        <f>IF(OR(Client_Info!$D$14="",Client_Info!$D$15=""),"",IF(EOMONTH(Client_Info!$D$14,164)&lt;=Client_Info!$D$15,EOMONTH(Client_Info!$D$14,164),""))</f>
        <v/>
      </c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120"/>
      <c r="BC172" s="25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</row>
    <row r="173" spans="1:200" ht="15" customHeight="1" x14ac:dyDescent="0.2">
      <c r="A173" s="2"/>
      <c r="B173" s="24" t="str">
        <f t="shared" si="5"/>
        <v/>
      </c>
      <c r="C173" s="29" t="str">
        <f>IF(OR(Client_Info!$D$14="",Client_Info!$D$15=""),"",IF(EOMONTH(Client_Info!$D$14,165)&lt;=Client_Info!$D$15,EOMONTH(Client_Info!$D$14,165),""))</f>
        <v/>
      </c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120"/>
      <c r="BC173" s="25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</row>
    <row r="174" spans="1:200" ht="15" customHeight="1" x14ac:dyDescent="0.2">
      <c r="A174" s="2"/>
      <c r="B174" s="24" t="str">
        <f t="shared" si="5"/>
        <v/>
      </c>
      <c r="C174" s="29" t="str">
        <f>IF(OR(Client_Info!$D$14="",Client_Info!$D$15=""),"",IF(EOMONTH(Client_Info!$D$14,166)&lt;=Client_Info!$D$15,EOMONTH(Client_Info!$D$14,166),""))</f>
        <v/>
      </c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120"/>
      <c r="BC174" s="25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</row>
    <row r="175" spans="1:200" ht="15" customHeight="1" x14ac:dyDescent="0.2">
      <c r="A175" s="2"/>
      <c r="B175" s="24" t="str">
        <f t="shared" si="5"/>
        <v/>
      </c>
      <c r="C175" s="29" t="str">
        <f>IF(OR(Client_Info!$D$14="",Client_Info!$D$15=""),"",IF(EOMONTH(Client_Info!$D$14,167)&lt;=Client_Info!$D$15,EOMONTH(Client_Info!$D$14,167),""))</f>
        <v/>
      </c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120"/>
      <c r="BC175" s="25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</row>
    <row r="176" spans="1:200" ht="15" customHeight="1" x14ac:dyDescent="0.2">
      <c r="A176" s="2"/>
      <c r="B176" s="24" t="str">
        <f t="shared" si="5"/>
        <v/>
      </c>
      <c r="C176" s="29" t="str">
        <f>IF(OR(Client_Info!$D$14="",Client_Info!$D$15=""),"",IF(EOMONTH(Client_Info!$D$14,168)&lt;=Client_Info!$D$15,EOMONTH(Client_Info!$D$14,168),""))</f>
        <v/>
      </c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120"/>
      <c r="BC176" s="25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</row>
    <row r="177" spans="1:200" ht="15" customHeight="1" x14ac:dyDescent="0.2">
      <c r="A177" s="2"/>
      <c r="B177" s="24" t="str">
        <f t="shared" si="5"/>
        <v/>
      </c>
      <c r="C177" s="29" t="str">
        <f>IF(OR(Client_Info!$D$14="",Client_Info!$D$15=""),"",IF(EOMONTH(Client_Info!$D$14,169)&lt;=Client_Info!$D$15,EOMONTH(Client_Info!$D$14,169),""))</f>
        <v/>
      </c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120"/>
      <c r="BC177" s="25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</row>
    <row r="178" spans="1:200" ht="15" customHeight="1" x14ac:dyDescent="0.2">
      <c r="A178" s="2"/>
      <c r="B178" s="24" t="str">
        <f t="shared" si="5"/>
        <v/>
      </c>
      <c r="C178" s="29" t="str">
        <f>IF(OR(Client_Info!$D$14="",Client_Info!$D$15=""),"",IF(EOMONTH(Client_Info!$D$14,170)&lt;=Client_Info!$D$15,EOMONTH(Client_Info!$D$14,170),""))</f>
        <v/>
      </c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120"/>
      <c r="BC178" s="25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</row>
    <row r="179" spans="1:200" ht="15" customHeight="1" x14ac:dyDescent="0.2">
      <c r="A179" s="2"/>
      <c r="B179" s="24" t="str">
        <f t="shared" si="5"/>
        <v/>
      </c>
      <c r="C179" s="29" t="str">
        <f>IF(OR(Client_Info!$D$14="",Client_Info!$D$15=""),"",IF(EOMONTH(Client_Info!$D$14,171)&lt;=Client_Info!$D$15,EOMONTH(Client_Info!$D$14,171),""))</f>
        <v/>
      </c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120"/>
      <c r="BC179" s="25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</row>
    <row r="180" spans="1:200" ht="15" customHeight="1" x14ac:dyDescent="0.2">
      <c r="A180" s="2"/>
      <c r="B180" s="24" t="str">
        <f t="shared" si="5"/>
        <v/>
      </c>
      <c r="C180" s="29" t="str">
        <f>IF(OR(Client_Info!$D$14="",Client_Info!$D$15=""),"",IF(EOMONTH(Client_Info!$D$14,172)&lt;=Client_Info!$D$15,EOMONTH(Client_Info!$D$14,172),""))</f>
        <v/>
      </c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120"/>
      <c r="BC180" s="25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</row>
    <row r="181" spans="1:200" ht="15" customHeight="1" x14ac:dyDescent="0.2">
      <c r="A181" s="2"/>
      <c r="B181" s="24" t="str">
        <f t="shared" si="5"/>
        <v/>
      </c>
      <c r="C181" s="29" t="str">
        <f>IF(OR(Client_Info!$D$14="",Client_Info!$D$15=""),"",IF(EOMONTH(Client_Info!$D$14,173)&lt;=Client_Info!$D$15,EOMONTH(Client_Info!$D$14,173),""))</f>
        <v/>
      </c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120"/>
      <c r="BC181" s="25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</row>
    <row r="182" spans="1:200" ht="15" customHeight="1" x14ac:dyDescent="0.2">
      <c r="A182" s="2"/>
      <c r="B182" s="24" t="str">
        <f t="shared" si="5"/>
        <v/>
      </c>
      <c r="C182" s="29" t="str">
        <f>IF(OR(Client_Info!$D$14="",Client_Info!$D$15=""),"",IF(EOMONTH(Client_Info!$D$14,174)&lt;=Client_Info!$D$15,EOMONTH(Client_Info!$D$14,174),""))</f>
        <v/>
      </c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120"/>
      <c r="BC182" s="25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</row>
    <row r="183" spans="1:200" ht="15" customHeight="1" x14ac:dyDescent="0.2">
      <c r="A183" s="2"/>
      <c r="B183" s="24" t="str">
        <f t="shared" si="5"/>
        <v/>
      </c>
      <c r="C183" s="29" t="str">
        <f>IF(OR(Client_Info!$D$14="",Client_Info!$D$15=""),"",IF(EOMONTH(Client_Info!$D$14,175)&lt;=Client_Info!$D$15,EOMONTH(Client_Info!$D$14,175),""))</f>
        <v/>
      </c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120"/>
      <c r="BC183" s="25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</row>
    <row r="184" spans="1:200" ht="15" customHeight="1" x14ac:dyDescent="0.2">
      <c r="A184" s="2"/>
      <c r="B184" s="24" t="str">
        <f t="shared" si="5"/>
        <v/>
      </c>
      <c r="C184" s="29" t="str">
        <f>IF(OR(Client_Info!$D$14="",Client_Info!$D$15=""),"",IF(EOMONTH(Client_Info!$D$14,176)&lt;=Client_Info!$D$15,EOMONTH(Client_Info!$D$14,176),""))</f>
        <v/>
      </c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120"/>
      <c r="BC184" s="25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</row>
    <row r="185" spans="1:200" ht="15" customHeight="1" x14ac:dyDescent="0.2">
      <c r="A185" s="2"/>
      <c r="B185" s="24" t="str">
        <f t="shared" si="5"/>
        <v/>
      </c>
      <c r="C185" s="29" t="str">
        <f>IF(OR(Client_Info!$D$14="",Client_Info!$D$15=""),"",IF(EOMONTH(Client_Info!$D$14,177)&lt;=Client_Info!$D$15,EOMONTH(Client_Info!$D$14,177),""))</f>
        <v/>
      </c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120"/>
      <c r="BC185" s="25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</row>
    <row r="186" spans="1:200" ht="15" customHeight="1" x14ac:dyDescent="0.2">
      <c r="A186" s="2"/>
      <c r="B186" s="24" t="str">
        <f t="shared" si="5"/>
        <v/>
      </c>
      <c r="C186" s="29" t="str">
        <f>IF(OR(Client_Info!$D$14="",Client_Info!$D$15=""),"",IF(EOMONTH(Client_Info!$D$14,178)&lt;=Client_Info!$D$15,EOMONTH(Client_Info!$D$14,178),""))</f>
        <v/>
      </c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120"/>
      <c r="BC186" s="25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</row>
    <row r="187" spans="1:200" ht="15" customHeight="1" x14ac:dyDescent="0.2">
      <c r="A187" s="2"/>
      <c r="B187" s="24" t="str">
        <f t="shared" si="5"/>
        <v/>
      </c>
      <c r="C187" s="29" t="str">
        <f>IF(OR(Client_Info!$D$14="",Client_Info!$D$15=""),"",IF(EOMONTH(Client_Info!$D$14,179)&lt;=Client_Info!$D$15,EOMONTH(Client_Info!$D$14,179),""))</f>
        <v/>
      </c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120"/>
      <c r="BC187" s="25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</row>
    <row r="188" spans="1:200" ht="15" customHeight="1" x14ac:dyDescent="0.2">
      <c r="A188" s="3"/>
      <c r="B188" s="3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25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</row>
    <row r="189" spans="1:200" ht="15" customHeight="1" x14ac:dyDescent="0.2">
      <c r="A189" s="3"/>
      <c r="B189" s="3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25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</row>
    <row r="190" spans="1:200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</row>
    <row r="191" spans="1:200" ht="1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</row>
    <row r="192" spans="1:200" ht="1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</row>
    <row r="193" spans="1:200" ht="1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</row>
    <row r="194" spans="1:200" ht="1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</row>
    <row r="195" spans="1:200" ht="1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</row>
    <row r="196" spans="1:200" ht="1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</row>
    <row r="197" spans="1:200" ht="1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</row>
    <row r="198" spans="1:200" ht="1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</row>
    <row r="199" spans="1:200" ht="1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</row>
    <row r="200" spans="1:200" ht="1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</row>
    <row r="201" spans="1:200" ht="1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</row>
    <row r="202" spans="1:200" ht="1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</row>
    <row r="203" spans="1:200" ht="1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</row>
    <row r="204" spans="1:200" ht="1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</row>
    <row r="205" spans="1:200" ht="1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</row>
    <row r="206" spans="1:200" ht="1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</row>
    <row r="207" spans="1:200" ht="1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</row>
    <row r="208" spans="1:200" ht="1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</row>
    <row r="209" spans="1:200" ht="1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</row>
    <row r="210" spans="1:200" ht="1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</row>
    <row r="211" spans="1:200" ht="1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</row>
    <row r="212" spans="1:200" ht="1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</row>
    <row r="213" spans="1:200" ht="1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</row>
    <row r="214" spans="1:200" ht="1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</row>
    <row r="215" spans="1:200" ht="1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</row>
    <row r="216" spans="1:200" ht="1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</row>
    <row r="217" spans="1:200" ht="1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</row>
    <row r="218" spans="1:200" ht="1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</row>
    <row r="219" spans="1:200" ht="1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</row>
    <row r="220" spans="1:200" ht="1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</row>
    <row r="221" spans="1:200" ht="1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</row>
    <row r="222" spans="1:200" ht="1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</row>
    <row r="223" spans="1:200" ht="1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</row>
    <row r="224" spans="1:200" ht="1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</row>
    <row r="225" spans="1:200" ht="1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</row>
    <row r="226" spans="1:200" ht="1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</row>
    <row r="227" spans="1:200" ht="1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</row>
    <row r="228" spans="1:200" ht="1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</row>
    <row r="229" spans="1:200" ht="1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</row>
    <row r="230" spans="1:200" ht="1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</row>
    <row r="231" spans="1:200" ht="1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</row>
    <row r="232" spans="1:200" ht="1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</row>
    <row r="233" spans="1:200" ht="1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</row>
    <row r="234" spans="1:200" ht="1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</row>
    <row r="235" spans="1:200" ht="1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</row>
    <row r="236" spans="1:200" ht="1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</row>
    <row r="237" spans="1:200" ht="1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</row>
    <row r="238" spans="1:200" ht="1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</row>
    <row r="239" spans="1:200" ht="1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</row>
    <row r="240" spans="1:200" ht="1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</row>
    <row r="241" spans="1:200" ht="1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</row>
    <row r="242" spans="1:200" ht="1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</row>
    <row r="243" spans="1:200" ht="1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</row>
    <row r="244" spans="1:200" ht="1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</row>
    <row r="245" spans="1:200" ht="1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</row>
    <row r="246" spans="1:200" ht="1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</row>
    <row r="247" spans="1:200" ht="1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</row>
    <row r="248" spans="1:200" ht="1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</row>
    <row r="249" spans="1:200" ht="1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</row>
    <row r="250" spans="1:200" ht="1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</row>
    <row r="251" spans="1:200" ht="1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</row>
    <row r="252" spans="1:200" ht="1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</row>
    <row r="253" spans="1:200" ht="1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</row>
    <row r="254" spans="1:200" ht="1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</row>
    <row r="255" spans="1:200" ht="1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</row>
    <row r="256" spans="1:200" ht="1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</row>
    <row r="257" spans="1:200" ht="1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</row>
    <row r="258" spans="1:200" ht="1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</row>
    <row r="259" spans="1:200" ht="1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</row>
    <row r="260" spans="1:200" ht="1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</row>
    <row r="261" spans="1:200" ht="1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</row>
    <row r="262" spans="1:200" ht="1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</row>
    <row r="263" spans="1:200" ht="1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</row>
    <row r="264" spans="1:200" ht="1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</row>
    <row r="265" spans="1:200" ht="1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</row>
    <row r="266" spans="1:200" ht="1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</row>
    <row r="267" spans="1:200" ht="1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</row>
    <row r="268" spans="1:200" ht="1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</row>
    <row r="269" spans="1:200" ht="1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</row>
    <row r="270" spans="1:200" ht="1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</row>
    <row r="271" spans="1:200" ht="1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</row>
    <row r="272" spans="1:200" ht="1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</row>
    <row r="273" spans="1:200" ht="1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</row>
    <row r="274" spans="1:200" ht="1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</row>
    <row r="275" spans="1:200" ht="1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</row>
    <row r="276" spans="1:200" ht="1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</row>
    <row r="277" spans="1:200" ht="1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</row>
    <row r="278" spans="1:200" ht="1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</row>
    <row r="279" spans="1:200" ht="1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</row>
    <row r="280" spans="1:200" ht="1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</row>
    <row r="281" spans="1:200" ht="1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</row>
    <row r="282" spans="1:200" ht="1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</row>
    <row r="283" spans="1:200" ht="1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</row>
    <row r="284" spans="1:200" ht="1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</row>
    <row r="285" spans="1:200" ht="1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</row>
    <row r="286" spans="1:200" ht="1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</row>
    <row r="287" spans="1:200" ht="1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</row>
    <row r="288" spans="1:200" ht="1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</row>
    <row r="289" spans="1:200" ht="1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</row>
    <row r="290" spans="1:200" ht="1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</row>
    <row r="291" spans="1:200" ht="1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</row>
    <row r="292" spans="1:200" ht="1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</row>
    <row r="293" spans="1:200" ht="1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</row>
    <row r="294" spans="1:200" ht="1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</row>
    <row r="295" spans="1:200" ht="1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</row>
    <row r="296" spans="1:200" ht="1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</row>
    <row r="297" spans="1:200" ht="1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</row>
    <row r="298" spans="1:200" ht="1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</row>
    <row r="299" spans="1:200" ht="1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</row>
    <row r="300" spans="1:200" ht="1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</row>
    <row r="301" spans="1:200" ht="1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</row>
    <row r="302" spans="1:200" ht="1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</row>
    <row r="303" spans="1:200" ht="1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</row>
    <row r="304" spans="1:200" ht="1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</row>
    <row r="305" spans="1:200" ht="1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</row>
    <row r="306" spans="1:200" ht="1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</row>
    <row r="307" spans="1:200" ht="1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</row>
    <row r="308" spans="1:200" ht="1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</row>
    <row r="309" spans="1:200" ht="1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</row>
    <row r="310" spans="1:200" ht="1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</row>
    <row r="311" spans="1:200" ht="1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</row>
    <row r="312" spans="1:200" ht="1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</row>
    <row r="313" spans="1:200" ht="1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</row>
    <row r="314" spans="1:200" ht="1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</row>
    <row r="315" spans="1:200" ht="1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</row>
    <row r="316" spans="1:200" ht="1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</row>
    <row r="317" spans="1:200" ht="1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</row>
    <row r="318" spans="1:200" ht="1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</row>
    <row r="319" spans="1:200" ht="1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</row>
    <row r="320" spans="1:200" ht="1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</row>
    <row r="321" spans="1:200" ht="1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</row>
    <row r="322" spans="1:200" ht="1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</row>
    <row r="323" spans="1:200" ht="1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</row>
    <row r="324" spans="1:200" ht="1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</row>
    <row r="325" spans="1:200" ht="1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</row>
    <row r="326" spans="1:200" ht="1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</row>
    <row r="327" spans="1:200" ht="1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</row>
    <row r="328" spans="1:200" ht="1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</row>
    <row r="329" spans="1:200" ht="1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</row>
    <row r="330" spans="1:200" ht="1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</row>
    <row r="331" spans="1:200" ht="1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</row>
    <row r="332" spans="1:200" ht="1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</row>
    <row r="333" spans="1:200" ht="1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</row>
    <row r="334" spans="1:200" ht="1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</row>
    <row r="335" spans="1:200" ht="1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</row>
    <row r="336" spans="1:200" ht="1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</row>
    <row r="337" spans="1:200" ht="1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</row>
    <row r="338" spans="1:200" ht="1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</row>
    <row r="339" spans="1:200" ht="1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</row>
    <row r="340" spans="1:200" ht="1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</row>
    <row r="341" spans="1:200" ht="1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</row>
    <row r="342" spans="1:200" ht="1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</row>
    <row r="343" spans="1:200" ht="1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</row>
    <row r="344" spans="1:200" ht="1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</row>
    <row r="345" spans="1:200" ht="1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</row>
    <row r="346" spans="1:200" ht="1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</row>
    <row r="347" spans="1:200" ht="1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</row>
    <row r="348" spans="1:200" ht="1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</row>
    <row r="349" spans="1:200" ht="1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</row>
    <row r="350" spans="1:200" ht="1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</row>
    <row r="351" spans="1:200" ht="1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</row>
    <row r="352" spans="1:200" ht="1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</row>
    <row r="353" spans="1:200" ht="1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</row>
    <row r="354" spans="1:200" ht="1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</row>
    <row r="355" spans="1:200" ht="1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</row>
    <row r="356" spans="1:200" ht="1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</row>
    <row r="357" spans="1:200" ht="1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</row>
    <row r="358" spans="1:200" ht="1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</row>
    <row r="359" spans="1:200" ht="1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</row>
    <row r="360" spans="1:200" ht="1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</row>
    <row r="361" spans="1:200" ht="1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</row>
    <row r="362" spans="1:200" ht="1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</row>
    <row r="363" spans="1:200" ht="1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</row>
    <row r="364" spans="1:200" ht="1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</row>
    <row r="365" spans="1:200" ht="1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</row>
    <row r="366" spans="1:200" ht="1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</row>
    <row r="367" spans="1:200" ht="1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</row>
    <row r="368" spans="1:200" ht="1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</row>
    <row r="369" spans="1:200" ht="1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</row>
    <row r="370" spans="1:200" ht="1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</row>
    <row r="371" spans="1:200" ht="1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</row>
    <row r="372" spans="1:200" ht="1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</row>
    <row r="373" spans="1:200" ht="1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</row>
    <row r="374" spans="1:200" ht="1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</row>
    <row r="375" spans="1:200" ht="1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</row>
    <row r="376" spans="1:200" ht="1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</row>
    <row r="377" spans="1:200" ht="1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</row>
    <row r="378" spans="1:200" ht="1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</row>
    <row r="379" spans="1:200" ht="1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</row>
    <row r="380" spans="1:200" ht="1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</row>
    <row r="381" spans="1:200" ht="1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</row>
    <row r="382" spans="1:200" ht="1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</row>
    <row r="383" spans="1:200" ht="1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</row>
    <row r="384" spans="1:200" ht="1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</row>
    <row r="385" spans="1:200" ht="1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</row>
    <row r="386" spans="1:200" ht="1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</row>
    <row r="387" spans="1:200" ht="1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</row>
    <row r="388" spans="1:200" ht="1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</row>
    <row r="389" spans="1:200" ht="1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</row>
    <row r="390" spans="1:200" ht="1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</row>
    <row r="391" spans="1:200" ht="1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</row>
    <row r="392" spans="1:200" ht="1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</row>
    <row r="393" spans="1:200" ht="1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</row>
    <row r="394" spans="1:200" ht="1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</row>
    <row r="395" spans="1:200" ht="1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</row>
    <row r="396" spans="1:200" ht="1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</row>
    <row r="397" spans="1:200" ht="1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</row>
    <row r="398" spans="1:200" ht="1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</row>
    <row r="399" spans="1:200" ht="1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</row>
    <row r="400" spans="1:200" ht="1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</row>
    <row r="401" spans="1:200" ht="1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</row>
    <row r="402" spans="1:200" ht="1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</row>
    <row r="403" spans="1:200" ht="1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</row>
    <row r="404" spans="1:200" ht="1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</row>
    <row r="405" spans="1:200" ht="1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</row>
    <row r="406" spans="1:200" ht="1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</row>
    <row r="407" spans="1:200" ht="1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</row>
    <row r="408" spans="1:200" ht="1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</row>
    <row r="409" spans="1:200" ht="1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</row>
    <row r="410" spans="1:200" ht="1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</row>
    <row r="411" spans="1:200" ht="1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</row>
    <row r="412" spans="1:200" ht="1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</row>
    <row r="413" spans="1:200" ht="1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</row>
    <row r="414" spans="1:200" ht="1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</row>
    <row r="415" spans="1:200" ht="1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</row>
    <row r="416" spans="1:200" ht="1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</row>
    <row r="417" spans="1:200" ht="1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</row>
    <row r="418" spans="1:200" ht="1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</row>
    <row r="419" spans="1:200" ht="1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</row>
    <row r="420" spans="1:200" ht="1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</row>
    <row r="421" spans="1:200" ht="1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</row>
    <row r="422" spans="1:200" ht="1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</row>
    <row r="423" spans="1:200" ht="1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</row>
    <row r="424" spans="1:200" ht="1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</row>
    <row r="425" spans="1:200" ht="1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</row>
    <row r="426" spans="1:200" ht="1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</row>
    <row r="427" spans="1:200" ht="1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</row>
    <row r="428" spans="1:200" ht="1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</row>
    <row r="429" spans="1:200" ht="1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</row>
    <row r="430" spans="1:200" ht="1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</row>
    <row r="431" spans="1:200" ht="1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</row>
    <row r="432" spans="1:200" ht="1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</row>
    <row r="433" spans="1:200" ht="1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</row>
    <row r="434" spans="1:200" ht="1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</row>
    <row r="435" spans="1:200" ht="1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</row>
    <row r="436" spans="1:200" ht="1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</row>
    <row r="437" spans="1:200" ht="1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</row>
    <row r="438" spans="1:200" ht="1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</row>
    <row r="439" spans="1:200" ht="1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</row>
    <row r="440" spans="1:200" ht="1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</row>
    <row r="441" spans="1:200" ht="1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</row>
    <row r="442" spans="1:200" ht="1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</row>
    <row r="443" spans="1:200" ht="1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</row>
    <row r="444" spans="1:200" ht="1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</row>
    <row r="445" spans="1:200" ht="1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</row>
    <row r="446" spans="1:200" ht="1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</row>
    <row r="447" spans="1:200" ht="1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</row>
    <row r="448" spans="1:200" ht="1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</row>
    <row r="449" spans="1:200" ht="1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</row>
    <row r="450" spans="1:200" ht="1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</row>
    <row r="451" spans="1:200" ht="1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</row>
    <row r="452" spans="1:200" ht="1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</row>
    <row r="453" spans="1:200" ht="1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</row>
    <row r="454" spans="1:200" ht="1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</row>
    <row r="455" spans="1:200" ht="1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</row>
    <row r="456" spans="1:200" ht="1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</row>
    <row r="457" spans="1:200" ht="1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</row>
    <row r="458" spans="1:200" ht="1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</row>
    <row r="459" spans="1:200" ht="1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</row>
    <row r="460" spans="1:200" ht="1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</row>
    <row r="461" spans="1:200" ht="1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</row>
    <row r="462" spans="1:200" ht="1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</row>
    <row r="463" spans="1:200" ht="1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</row>
    <row r="464" spans="1:200" ht="1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</row>
    <row r="465" spans="1:200" ht="1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</row>
    <row r="466" spans="1:200" ht="1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</row>
    <row r="467" spans="1:200" ht="1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</row>
    <row r="468" spans="1:200" ht="1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</row>
    <row r="469" spans="1:200" ht="1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</row>
    <row r="470" spans="1:200" ht="1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</row>
    <row r="471" spans="1:200" ht="1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</row>
    <row r="472" spans="1:200" ht="1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</row>
    <row r="473" spans="1:200" ht="1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</row>
    <row r="474" spans="1:200" ht="1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</row>
    <row r="475" spans="1:200" ht="1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</row>
    <row r="476" spans="1:200" ht="1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</row>
    <row r="477" spans="1:200" ht="1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</row>
    <row r="478" spans="1:200" ht="1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</row>
    <row r="479" spans="1:200" ht="1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</row>
    <row r="480" spans="1:200" ht="1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</row>
    <row r="481" spans="1:200" ht="1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</row>
    <row r="482" spans="1:200" ht="1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</row>
    <row r="483" spans="1:200" ht="1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</row>
    <row r="484" spans="1:200" ht="1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</row>
    <row r="485" spans="1:200" ht="1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</row>
    <row r="486" spans="1:200" ht="1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</row>
    <row r="487" spans="1:200" ht="1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</row>
    <row r="488" spans="1:200" ht="1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</row>
    <row r="489" spans="1:200" ht="1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</row>
    <row r="490" spans="1:200" ht="1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</row>
    <row r="491" spans="1:200" ht="1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</row>
    <row r="492" spans="1:200" ht="1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</row>
    <row r="493" spans="1:200" ht="1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</row>
    <row r="494" spans="1:200" ht="1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</row>
    <row r="495" spans="1:200" ht="1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</row>
    <row r="496" spans="1:200" ht="1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</row>
    <row r="497" spans="1:200" ht="1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</row>
    <row r="498" spans="1:200" ht="1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</row>
    <row r="499" spans="1:200" ht="1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</row>
    <row r="500" spans="1:200" ht="1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</row>
  </sheetData>
  <sheetProtection sheet="1"/>
  <conditionalFormatting sqref="D8:BA187">
    <cfRule type="expression" dxfId="4" priority="1">
      <formula>AND($C8&lt;&gt;"",D8="")</formula>
    </cfRule>
  </conditionalFormatting>
  <dataValidations count="1">
    <dataValidation type="decimal" operator="greaterThanOrEqual" allowBlank="1" errorTitle="Invalid NAV" error="Please enter a valid dollar amount. Leave blank if no NAV." sqref="D8:D187 E8:E187 F8:F187 G8:G187 H8:H187 I8:I187 J8:J187 K8:K187 L8:L187 M8:M187 N8:N187 O8:O187 P8:P187 Q8:Q187 R8:R187 S8:S187 T8:T187 U8:U187 V8:V187 W8:W187 X8:X187 Y8:Y187 Z8:Z187 AA8:AA187 AB8:AB187 AC8:AC187 AD8:AD187 AE8:AE187 AF8:AF187 AG8:AG187 AH8:AH187 AI8:AI187 AJ8:AJ187 AK8:AK187 AL8:AL187 AM8:AM187 AN8:AN187 AO8:AO187 AP8:AP187 AQ8:AQ187 AR8:AR187 AS8:AS187 AT8:AT187 AU8:AU187 AV8:AV187 AW8:AW187 AX8:AX187 AY8:AY187 AZ8:AZ187 BA8:BA187" xr:uid="{00000000-0002-0000-0500-000000000000}">
      <formula1>-1000000000</formula1>
    </dataValidation>
  </dataValidations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0.59999389629810485"/>
  </sheetPr>
  <dimension ref="A1:GR500"/>
  <sheetViews>
    <sheetView zoomScaleNormal="100" workbookViewId="0">
      <pane xSplit="3" ySplit="7" topLeftCell="D8" activePane="bottomRight" state="frozen"/>
      <selection activeCell="N199" sqref="N199"/>
      <selection pane="topRight" activeCell="N199" sqref="N199"/>
      <selection pane="bottomLeft" activeCell="N199" sqref="N199"/>
      <selection pane="bottomRight" activeCell="H53" sqref="H53"/>
    </sheetView>
  </sheetViews>
  <sheetFormatPr baseColWidth="10" defaultColWidth="8.83203125" defaultRowHeight="15" customHeight="1" x14ac:dyDescent="0.2"/>
  <cols>
    <col min="1" max="1" width="2" customWidth="1"/>
    <col min="2" max="2" width="8" hidden="1" customWidth="1"/>
    <col min="3" max="3" width="14" customWidth="1"/>
    <col min="4" max="53" width="13" customWidth="1"/>
    <col min="54" max="54" width="8.83203125" customWidth="1"/>
  </cols>
  <sheetData>
    <row r="1" spans="1:200" ht="30" customHeight="1" x14ac:dyDescent="0.2">
      <c r="A1" s="8"/>
      <c r="B1" s="9"/>
      <c r="C1" s="9"/>
      <c r="D1" s="16" t="s">
        <v>256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10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</row>
    <row r="2" spans="1:200" ht="15" customHeight="1" x14ac:dyDescent="0.2">
      <c r="A2" s="8"/>
      <c r="B2" s="9"/>
      <c r="C2" s="9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10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</row>
    <row r="3" spans="1:200" ht="15" customHeight="1" x14ac:dyDescent="0.2">
      <c r="A3" s="8"/>
      <c r="B3" s="9"/>
      <c r="C3" s="9"/>
      <c r="D3" s="27" t="s">
        <v>257</v>
      </c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10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</row>
    <row r="4" spans="1:200" ht="15" customHeight="1" x14ac:dyDescent="0.2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10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</row>
    <row r="5" spans="1:200" ht="50" customHeight="1" x14ac:dyDescent="0.2">
      <c r="A5" s="8"/>
      <c r="B5" s="12" t="s">
        <v>92</v>
      </c>
      <c r="C5" s="19"/>
      <c r="D5" s="26" t="str">
        <f>IFERROR(IF(Client_Portfolio!F6="","",Client_Portfolio!F6),"")</f>
        <v>Adage Capital Management</v>
      </c>
      <c r="E5" s="26" t="str">
        <f>IFERROR(IF(Client_Portfolio!F7="","",Client_Portfolio!F7),"")</f>
        <v>Wellington Management</v>
      </c>
      <c r="F5" s="26" t="str">
        <f>IFERROR(IF(Client_Portfolio!F8="","",Client_Portfolio!F8),"")</f>
        <v>AQR 130/30 Equity</v>
      </c>
      <c r="G5" s="26" t="str">
        <f>IFERROR(IF(Client_Portfolio!F9="","",Client_Portfolio!F9),"")</f>
        <v>Causeway International Value</v>
      </c>
      <c r="H5" s="26" t="str">
        <f>IFERROR(IF(Client_Portfolio!F10="","",Client_Portfolio!F10),"")</f>
        <v>Marathon Asset Management</v>
      </c>
      <c r="I5" s="26" t="str">
        <f>IFERROR(IF(Client_Portfolio!F11="","",Client_Portfolio!F11),"")</f>
        <v>Harding Loevner EM</v>
      </c>
      <c r="J5" s="26" t="str">
        <f>IFERROR(IF(Client_Portfolio!F12="","",Client_Portfolio!F12),"")</f>
        <v>KKR Americas Fund XIV</v>
      </c>
      <c r="K5" s="26" t="str">
        <f>IFERROR(IF(Client_Portfolio!F13="","",Client_Portfolio!F13),"")</f>
        <v>Thoma Bravo Fund XV</v>
      </c>
      <c r="L5" s="26" t="str">
        <f>IFERROR(IF(Client_Portfolio!F14="","",Client_Portfolio!F14),"")</f>
        <v>Summit Partners Growth IV</v>
      </c>
      <c r="M5" s="26" t="str">
        <f>IFERROR(IF(Client_Portfolio!F15="","",Client_Portfolio!F15),"")</f>
        <v>Sequoia Capital Fund XVII</v>
      </c>
      <c r="N5" s="26" t="str">
        <f>IFERROR(IF(Client_Portfolio!F16="","",Client_Portfolio!F16),"")</f>
        <v>Andreessen Horowitz Fund VII</v>
      </c>
      <c r="O5" s="26" t="str">
        <f>IFERROR(IF(Client_Portfolio!F17="","",Client_Portfolio!F17),"")</f>
        <v>Brookfield Infrastructure IV</v>
      </c>
      <c r="P5" s="26" t="str">
        <f>IFERROR(IF(Client_Portfolio!F18="","",Client_Portfolio!F18),"")</f>
        <v>Blackstone Real Estate IX</v>
      </c>
      <c r="Q5" s="26" t="str">
        <f>IFERROR(IF(Client_Portfolio!F19="","",Client_Portfolio!F19),"")</f>
        <v>Lone Pine Capital</v>
      </c>
      <c r="R5" s="26" t="str">
        <f>IFERROR(IF(Client_Portfolio!F20="","",Client_Portfolio!F20),"")</f>
        <v>Paulson Advantage</v>
      </c>
      <c r="S5" s="26" t="str">
        <f>IFERROR(IF(Client_Portfolio!F21="","",Client_Portfolio!F21),"")</f>
        <v>Bridgewater Pure Alpha</v>
      </c>
      <c r="T5" s="26" t="str">
        <f>IFERROR(IF(Client_Portfolio!F22="","",Client_Portfolio!F22),"")</f>
        <v>Citadel Wellington</v>
      </c>
      <c r="U5" s="26" t="str">
        <f>IFERROR(IF(Client_Portfolio!F23="","",Client_Portfolio!F23),"")</f>
        <v>PIMCO Total Return</v>
      </c>
      <c r="V5" s="26" t="str">
        <f>IFERROR(IF(Client_Portfolio!F24="","",Client_Portfolio!F24),"")</f>
        <v>Loomis Sayles Core Plus</v>
      </c>
      <c r="W5" s="26" t="str">
        <f>IFERROR(IF(Client_Portfolio!F25="","",Client_Portfolio!F25),"")</f>
        <v>Vanguard Federal MMF</v>
      </c>
      <c r="X5" s="26" t="str">
        <f>IFERROR(IF(Client_Portfolio!F26="","",Client_Portfolio!F26),"")</f>
        <v/>
      </c>
      <c r="Y5" s="26" t="str">
        <f>IFERROR(IF(Client_Portfolio!F27="","",Client_Portfolio!F27),"")</f>
        <v/>
      </c>
      <c r="Z5" s="26" t="str">
        <f>IFERROR(IF(Client_Portfolio!F28="","",Client_Portfolio!F28),"")</f>
        <v/>
      </c>
      <c r="AA5" s="26" t="str">
        <f>IFERROR(IF(Client_Portfolio!F29="","",Client_Portfolio!F29),"")</f>
        <v/>
      </c>
      <c r="AB5" s="26" t="str">
        <f>IFERROR(IF(Client_Portfolio!F30="","",Client_Portfolio!F30),"")</f>
        <v/>
      </c>
      <c r="AC5" s="26" t="str">
        <f>IFERROR(IF(Client_Portfolio!F31="","",Client_Portfolio!F31),"")</f>
        <v/>
      </c>
      <c r="AD5" s="26" t="str">
        <f>IFERROR(IF(Client_Portfolio!F32="","",Client_Portfolio!F32),"")</f>
        <v/>
      </c>
      <c r="AE5" s="26" t="str">
        <f>IFERROR(IF(Client_Portfolio!F33="","",Client_Portfolio!F33),"")</f>
        <v/>
      </c>
      <c r="AF5" s="26" t="str">
        <f>IFERROR(IF(Client_Portfolio!F34="","",Client_Portfolio!F34),"")</f>
        <v/>
      </c>
      <c r="AG5" s="26" t="str">
        <f>IFERROR(IF(Client_Portfolio!F35="","",Client_Portfolio!F35),"")</f>
        <v/>
      </c>
      <c r="AH5" s="26" t="str">
        <f>IFERROR(IF(Client_Portfolio!F36="","",Client_Portfolio!F36),"")</f>
        <v/>
      </c>
      <c r="AI5" s="26" t="str">
        <f>IFERROR(IF(Client_Portfolio!F37="","",Client_Portfolio!F37),"")</f>
        <v/>
      </c>
      <c r="AJ5" s="26" t="str">
        <f>IFERROR(IF(Client_Portfolio!F38="","",Client_Portfolio!F38),"")</f>
        <v/>
      </c>
      <c r="AK5" s="26" t="str">
        <f>IFERROR(IF(Client_Portfolio!F39="","",Client_Portfolio!F39),"")</f>
        <v/>
      </c>
      <c r="AL5" s="26" t="str">
        <f>IFERROR(IF(Client_Portfolio!F40="","",Client_Portfolio!F40),"")</f>
        <v/>
      </c>
      <c r="AM5" s="26" t="str">
        <f>IFERROR(IF(Client_Portfolio!F41="","",Client_Portfolio!F41),"")</f>
        <v/>
      </c>
      <c r="AN5" s="26" t="str">
        <f>IFERROR(IF(Client_Portfolio!F42="","",Client_Portfolio!F42),"")</f>
        <v/>
      </c>
      <c r="AO5" s="26" t="str">
        <f>IFERROR(IF(Client_Portfolio!F43="","",Client_Portfolio!F43),"")</f>
        <v/>
      </c>
      <c r="AP5" s="26" t="str">
        <f>IFERROR(IF(Client_Portfolio!F44="","",Client_Portfolio!F44),"")</f>
        <v/>
      </c>
      <c r="AQ5" s="26" t="str">
        <f>IFERROR(IF(Client_Portfolio!F45="","",Client_Portfolio!F45),"")</f>
        <v/>
      </c>
      <c r="AR5" s="26" t="str">
        <f>IFERROR(IF(Client_Portfolio!F46="","",Client_Portfolio!F46),"")</f>
        <v/>
      </c>
      <c r="AS5" s="26" t="str">
        <f>IFERROR(IF(Client_Portfolio!F47="","",Client_Portfolio!F47),"")</f>
        <v/>
      </c>
      <c r="AT5" s="26" t="str">
        <f>IFERROR(IF(Client_Portfolio!F48="","",Client_Portfolio!F48),"")</f>
        <v/>
      </c>
      <c r="AU5" s="26" t="str">
        <f>IFERROR(IF(Client_Portfolio!F49="","",Client_Portfolio!F49),"")</f>
        <v/>
      </c>
      <c r="AV5" s="26" t="str">
        <f>IFERROR(IF(Client_Portfolio!F50="","",Client_Portfolio!F50),"")</f>
        <v/>
      </c>
      <c r="AW5" s="26" t="str">
        <f>IFERROR(IF(Client_Portfolio!F51="","",Client_Portfolio!F51),"")</f>
        <v/>
      </c>
      <c r="AX5" s="26" t="str">
        <f>IFERROR(IF(Client_Portfolio!F52="","",Client_Portfolio!F52),"")</f>
        <v/>
      </c>
      <c r="AY5" s="26" t="str">
        <f>IFERROR(IF(Client_Portfolio!F53="","",Client_Portfolio!F53),"")</f>
        <v/>
      </c>
      <c r="AZ5" s="26" t="str">
        <f>IFERROR(IF(Client_Portfolio!F54="","",Client_Portfolio!F54),"")</f>
        <v/>
      </c>
      <c r="BA5" s="26" t="str">
        <f>IFERROR(IF(Client_Portfolio!F55="","",Client_Portfolio!F55),"")</f>
        <v/>
      </c>
      <c r="BB5" s="26"/>
      <c r="BC5" s="10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</row>
    <row r="6" spans="1:200" ht="15" customHeight="1" x14ac:dyDescent="0.2">
      <c r="A6" s="19"/>
      <c r="B6" s="19" t="s">
        <v>203</v>
      </c>
      <c r="C6" s="19"/>
      <c r="D6" s="19" t="str">
        <f>IFERROR(IF(Client_Portfolio!E6="","",Client_Portfolio!E6),"")</f>
        <v>US Equity</v>
      </c>
      <c r="E6" s="19" t="str">
        <f>IFERROR(IF(Client_Portfolio!E7="","",Client_Portfolio!E7),"")</f>
        <v>US Equity</v>
      </c>
      <c r="F6" s="19" t="str">
        <f>IFERROR(IF(Client_Portfolio!E8="","",Client_Portfolio!E8),"")</f>
        <v>US Equity</v>
      </c>
      <c r="G6" s="19" t="str">
        <f>IFERROR(IF(Client_Portfolio!E9="","",Client_Portfolio!E9),"")</f>
        <v>Developed ex-US Equity</v>
      </c>
      <c r="H6" s="19" t="str">
        <f>IFERROR(IF(Client_Portfolio!E10="","",Client_Portfolio!E10),"")</f>
        <v>Developed ex-US Equity</v>
      </c>
      <c r="I6" s="19" t="str">
        <f>IFERROR(IF(Client_Portfolio!E11="","",Client_Portfolio!E11),"")</f>
        <v>Emerging Markets Equity</v>
      </c>
      <c r="J6" s="19" t="str">
        <f>IFERROR(IF(Client_Portfolio!E12="","",Client_Portfolio!E12),"")</f>
        <v>Private Equity</v>
      </c>
      <c r="K6" s="19" t="str">
        <f>IFERROR(IF(Client_Portfolio!E13="","",Client_Portfolio!E13),"")</f>
        <v>Private Equity</v>
      </c>
      <c r="L6" s="19" t="str">
        <f>IFERROR(IF(Client_Portfolio!E14="","",Client_Portfolio!E14),"")</f>
        <v>Private Equity</v>
      </c>
      <c r="M6" s="19" t="str">
        <f>IFERROR(IF(Client_Portfolio!E15="","",Client_Portfolio!E15),"")</f>
        <v>Venture Capital</v>
      </c>
      <c r="N6" s="19" t="str">
        <f>IFERROR(IF(Client_Portfolio!E16="","",Client_Portfolio!E16),"")</f>
        <v>Venture Capital</v>
      </c>
      <c r="O6" s="19" t="str">
        <f>IFERROR(IF(Client_Portfolio!E17="","",Client_Portfolio!E17),"")</f>
        <v>Private Real Assets</v>
      </c>
      <c r="P6" s="19" t="str">
        <f>IFERROR(IF(Client_Portfolio!E18="","",Client_Portfolio!E18),"")</f>
        <v>Private Real Assets</v>
      </c>
      <c r="Q6" s="19" t="str">
        <f>IFERROR(IF(Client_Portfolio!E19="","",Client_Portfolio!E19),"")</f>
        <v>Opportunistic</v>
      </c>
      <c r="R6" s="19" t="str">
        <f>IFERROR(IF(Client_Portfolio!E20="","",Client_Portfolio!E20),"")</f>
        <v>Opportunistic</v>
      </c>
      <c r="S6" s="19" t="str">
        <f>IFERROR(IF(Client_Portfolio!E21="","",Client_Portfolio!E21),"")</f>
        <v>Diversifying</v>
      </c>
      <c r="T6" s="19" t="str">
        <f>IFERROR(IF(Client_Portfolio!E22="","",Client_Portfolio!E22),"")</f>
        <v>Diversifying</v>
      </c>
      <c r="U6" s="19" t="str">
        <f>IFERROR(IF(Client_Portfolio!E23="","",Client_Portfolio!E23),"")</f>
        <v>Core</v>
      </c>
      <c r="V6" s="19" t="str">
        <f>IFERROR(IF(Client_Portfolio!E24="","",Client_Portfolio!E24),"")</f>
        <v>Core Plus</v>
      </c>
      <c r="W6" s="19" t="str">
        <f>IFERROR(IF(Client_Portfolio!E25="","",Client_Portfolio!E25),"")</f>
        <v>Money Market</v>
      </c>
      <c r="X6" s="19" t="str">
        <f>IFERROR(IF(Client_Portfolio!E26="","",Client_Portfolio!E26),"")</f>
        <v/>
      </c>
      <c r="Y6" s="19" t="str">
        <f>IFERROR(IF(Client_Portfolio!E27="","",Client_Portfolio!E27),"")</f>
        <v/>
      </c>
      <c r="Z6" s="19" t="str">
        <f>IFERROR(IF(Client_Portfolio!E28="","",Client_Portfolio!E28),"")</f>
        <v/>
      </c>
      <c r="AA6" s="19" t="str">
        <f>IFERROR(IF(Client_Portfolio!E29="","",Client_Portfolio!E29),"")</f>
        <v/>
      </c>
      <c r="AB6" s="19" t="str">
        <f>IFERROR(IF(Client_Portfolio!E30="","",Client_Portfolio!E30),"")</f>
        <v/>
      </c>
      <c r="AC6" s="19" t="str">
        <f>IFERROR(IF(Client_Portfolio!E31="","",Client_Portfolio!E31),"")</f>
        <v/>
      </c>
      <c r="AD6" s="19" t="str">
        <f>IFERROR(IF(Client_Portfolio!E32="","",Client_Portfolio!E32),"")</f>
        <v/>
      </c>
      <c r="AE6" s="19" t="str">
        <f>IFERROR(IF(Client_Portfolio!E33="","",Client_Portfolio!E33),"")</f>
        <v/>
      </c>
      <c r="AF6" s="19" t="str">
        <f>IFERROR(IF(Client_Portfolio!E34="","",Client_Portfolio!E34),"")</f>
        <v/>
      </c>
      <c r="AG6" s="19" t="str">
        <f>IFERROR(IF(Client_Portfolio!E35="","",Client_Portfolio!E35),"")</f>
        <v/>
      </c>
      <c r="AH6" s="19" t="str">
        <f>IFERROR(IF(Client_Portfolio!E36="","",Client_Portfolio!E36),"")</f>
        <v/>
      </c>
      <c r="AI6" s="19" t="str">
        <f>IFERROR(IF(Client_Portfolio!E37="","",Client_Portfolio!E37),"")</f>
        <v/>
      </c>
      <c r="AJ6" s="19" t="str">
        <f>IFERROR(IF(Client_Portfolio!E38="","",Client_Portfolio!E38),"")</f>
        <v/>
      </c>
      <c r="AK6" s="19" t="str">
        <f>IFERROR(IF(Client_Portfolio!E39="","",Client_Portfolio!E39),"")</f>
        <v/>
      </c>
      <c r="AL6" s="19" t="str">
        <f>IFERROR(IF(Client_Portfolio!E40="","",Client_Portfolio!E40),"")</f>
        <v/>
      </c>
      <c r="AM6" s="19" t="str">
        <f>IFERROR(IF(Client_Portfolio!E41="","",Client_Portfolio!E41),"")</f>
        <v/>
      </c>
      <c r="AN6" s="19" t="str">
        <f>IFERROR(IF(Client_Portfolio!E42="","",Client_Portfolio!E42),"")</f>
        <v/>
      </c>
      <c r="AO6" s="19" t="str">
        <f>IFERROR(IF(Client_Portfolio!E43="","",Client_Portfolio!E43),"")</f>
        <v/>
      </c>
      <c r="AP6" s="19" t="str">
        <f>IFERROR(IF(Client_Portfolio!E44="","",Client_Portfolio!E44),"")</f>
        <v/>
      </c>
      <c r="AQ6" s="19" t="str">
        <f>IFERROR(IF(Client_Portfolio!E45="","",Client_Portfolio!E45),"")</f>
        <v/>
      </c>
      <c r="AR6" s="19" t="str">
        <f>IFERROR(IF(Client_Portfolio!E46="","",Client_Portfolio!E46),"")</f>
        <v/>
      </c>
      <c r="AS6" s="19" t="str">
        <f>IFERROR(IF(Client_Portfolio!E47="","",Client_Portfolio!E47),"")</f>
        <v/>
      </c>
      <c r="AT6" s="19" t="str">
        <f>IFERROR(IF(Client_Portfolio!E48="","",Client_Portfolio!E48),"")</f>
        <v/>
      </c>
      <c r="AU6" s="19" t="str">
        <f>IFERROR(IF(Client_Portfolio!E49="","",Client_Portfolio!E49),"")</f>
        <v/>
      </c>
      <c r="AV6" s="19" t="str">
        <f>IFERROR(IF(Client_Portfolio!E50="","",Client_Portfolio!E50),"")</f>
        <v/>
      </c>
      <c r="AW6" s="19" t="str">
        <f>IFERROR(IF(Client_Portfolio!E51="","",Client_Portfolio!E51),"")</f>
        <v/>
      </c>
      <c r="AX6" s="19" t="str">
        <f>IFERROR(IF(Client_Portfolio!E52="","",Client_Portfolio!E52),"")</f>
        <v/>
      </c>
      <c r="AY6" s="19" t="str">
        <f>IFERROR(IF(Client_Portfolio!E53="","",Client_Portfolio!E53),"")</f>
        <v/>
      </c>
      <c r="AZ6" s="19" t="str">
        <f>IFERROR(IF(Client_Portfolio!E54="","",Client_Portfolio!E54),"")</f>
        <v/>
      </c>
      <c r="BA6" s="19" t="str">
        <f>IFERROR(IF(Client_Portfolio!E55="","",Client_Portfolio!E55),"")</f>
        <v/>
      </c>
      <c r="BB6" s="19"/>
      <c r="BC6" s="10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</row>
    <row r="7" spans="1:200" ht="15" customHeight="1" x14ac:dyDescent="0.2">
      <c r="A7" s="21"/>
      <c r="B7" s="22" t="s">
        <v>204</v>
      </c>
      <c r="C7" s="22" t="s">
        <v>205</v>
      </c>
      <c r="D7" s="22" t="s">
        <v>206</v>
      </c>
      <c r="E7" s="22" t="s">
        <v>207</v>
      </c>
      <c r="F7" s="22" t="s">
        <v>208</v>
      </c>
      <c r="G7" s="22" t="s">
        <v>209</v>
      </c>
      <c r="H7" s="22" t="s">
        <v>210</v>
      </c>
      <c r="I7" s="22" t="s">
        <v>211</v>
      </c>
      <c r="J7" s="22" t="s">
        <v>212</v>
      </c>
      <c r="K7" s="22" t="s">
        <v>213</v>
      </c>
      <c r="L7" s="22" t="s">
        <v>214</v>
      </c>
      <c r="M7" s="22" t="s">
        <v>215</v>
      </c>
      <c r="N7" s="22" t="s">
        <v>216</v>
      </c>
      <c r="O7" s="22" t="s">
        <v>217</v>
      </c>
      <c r="P7" s="22" t="s">
        <v>218</v>
      </c>
      <c r="Q7" s="22" t="s">
        <v>219</v>
      </c>
      <c r="R7" s="22" t="s">
        <v>220</v>
      </c>
      <c r="S7" s="22" t="s">
        <v>221</v>
      </c>
      <c r="T7" s="22" t="s">
        <v>222</v>
      </c>
      <c r="U7" s="22" t="s">
        <v>223</v>
      </c>
      <c r="V7" s="22" t="s">
        <v>224</v>
      </c>
      <c r="W7" s="22" t="s">
        <v>225</v>
      </c>
      <c r="X7" s="22" t="s">
        <v>226</v>
      </c>
      <c r="Y7" s="22" t="s">
        <v>227</v>
      </c>
      <c r="Z7" s="22" t="s">
        <v>228</v>
      </c>
      <c r="AA7" s="22" t="s">
        <v>229</v>
      </c>
      <c r="AB7" s="22" t="s">
        <v>230</v>
      </c>
      <c r="AC7" s="22" t="s">
        <v>231</v>
      </c>
      <c r="AD7" s="22" t="s">
        <v>232</v>
      </c>
      <c r="AE7" s="22" t="s">
        <v>233</v>
      </c>
      <c r="AF7" s="22" t="s">
        <v>234</v>
      </c>
      <c r="AG7" s="22" t="s">
        <v>235</v>
      </c>
      <c r="AH7" s="22" t="s">
        <v>236</v>
      </c>
      <c r="AI7" s="22" t="s">
        <v>237</v>
      </c>
      <c r="AJ7" s="22" t="s">
        <v>238</v>
      </c>
      <c r="AK7" s="22" t="s">
        <v>239</v>
      </c>
      <c r="AL7" s="22" t="s">
        <v>240</v>
      </c>
      <c r="AM7" s="22" t="s">
        <v>241</v>
      </c>
      <c r="AN7" s="22" t="s">
        <v>242</v>
      </c>
      <c r="AO7" s="22" t="s">
        <v>243</v>
      </c>
      <c r="AP7" s="22" t="s">
        <v>244</v>
      </c>
      <c r="AQ7" s="22" t="s">
        <v>245</v>
      </c>
      <c r="AR7" s="22" t="s">
        <v>246</v>
      </c>
      <c r="AS7" s="22" t="s">
        <v>247</v>
      </c>
      <c r="AT7" s="22" t="s">
        <v>248</v>
      </c>
      <c r="AU7" s="22" t="s">
        <v>249</v>
      </c>
      <c r="AV7" s="22" t="s">
        <v>250</v>
      </c>
      <c r="AW7" s="22" t="s">
        <v>251</v>
      </c>
      <c r="AX7" s="22" t="s">
        <v>252</v>
      </c>
      <c r="AY7" s="22" t="s">
        <v>253</v>
      </c>
      <c r="AZ7" s="22" t="s">
        <v>254</v>
      </c>
      <c r="BA7" s="22" t="s">
        <v>255</v>
      </c>
      <c r="BB7" s="22"/>
      <c r="BC7" s="10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</row>
    <row r="8" spans="1:200" ht="15" customHeight="1" x14ac:dyDescent="0.2">
      <c r="A8" s="2"/>
      <c r="B8" s="24" t="str">
        <f t="shared" ref="B8:B39" si="0">IF(C8="","","[ROW:"&amp;UPPER(TEXT(C8,"MMM"))&amp;"_"&amp;TEXT(C8,"YYYY")&amp;"]")</f>
        <v>[ROW:JAN_2016]</v>
      </c>
      <c r="C8" s="29">
        <f>IF(OR(Client_Info!$D$14="",Client_Info!$D$15=""),"",IF(EOMONTH(Client_Info!$D$14,0)&lt;=Client_Info!$D$15,EOMONTH(Client_Info!$D$14,0),""))</f>
        <v>42400</v>
      </c>
      <c r="D8" s="142">
        <v>5.51</v>
      </c>
      <c r="E8" s="142">
        <v>1.76</v>
      </c>
      <c r="F8" s="142">
        <v>2.27</v>
      </c>
      <c r="G8" s="142">
        <v>-3.9</v>
      </c>
      <c r="H8" s="142">
        <v>-4.49</v>
      </c>
      <c r="I8" s="142">
        <v>2.4500000000000002</v>
      </c>
      <c r="J8" s="142">
        <v>2.36</v>
      </c>
      <c r="K8" s="142">
        <v>4.63</v>
      </c>
      <c r="L8" s="142">
        <v>3.25</v>
      </c>
      <c r="M8" s="142">
        <v>-6.13</v>
      </c>
      <c r="N8" s="142">
        <v>-6.77</v>
      </c>
      <c r="O8" s="142">
        <v>0.09</v>
      </c>
      <c r="P8" s="142">
        <v>2.35</v>
      </c>
      <c r="Q8" s="142">
        <v>-2.0499999999999998</v>
      </c>
      <c r="R8" s="142">
        <v>0.36</v>
      </c>
      <c r="S8" s="142">
        <v>-0.41</v>
      </c>
      <c r="T8" s="142">
        <v>2.25</v>
      </c>
      <c r="U8" s="142">
        <v>0.45</v>
      </c>
      <c r="V8" s="142">
        <v>0.32</v>
      </c>
      <c r="W8" s="142">
        <v>0.04</v>
      </c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120"/>
      <c r="BC8" s="25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</row>
    <row r="9" spans="1:200" ht="15" customHeight="1" x14ac:dyDescent="0.2">
      <c r="A9" s="2"/>
      <c r="B9" s="24" t="str">
        <f t="shared" si="0"/>
        <v>[ROW:FEB_2016]</v>
      </c>
      <c r="C9" s="29">
        <f>IF(OR(Client_Info!$D$14="",Client_Info!$D$15=""),"",IF(EOMONTH(Client_Info!$D$14,1)&lt;=Client_Info!$D$15,EOMONTH(Client_Info!$D$14,1),""))</f>
        <v>42429</v>
      </c>
      <c r="D9" s="142">
        <v>0.5</v>
      </c>
      <c r="E9" s="142">
        <v>0.86</v>
      </c>
      <c r="F9" s="142">
        <v>-0.06</v>
      </c>
      <c r="G9" s="142">
        <v>0.4</v>
      </c>
      <c r="H9" s="142">
        <v>-0.69</v>
      </c>
      <c r="I9" s="142">
        <v>9.01</v>
      </c>
      <c r="J9" s="142">
        <v>5.92</v>
      </c>
      <c r="K9" s="142">
        <v>0.39</v>
      </c>
      <c r="L9" s="142">
        <v>-0.96</v>
      </c>
      <c r="M9" s="142">
        <v>-12.38</v>
      </c>
      <c r="N9" s="142">
        <v>-9.74</v>
      </c>
      <c r="O9" s="142">
        <v>0.78</v>
      </c>
      <c r="P9" s="142">
        <v>5.57</v>
      </c>
      <c r="Q9" s="142">
        <v>-2.98</v>
      </c>
      <c r="R9" s="142">
        <v>-3.92</v>
      </c>
      <c r="S9" s="142">
        <v>0.39</v>
      </c>
      <c r="T9" s="142">
        <v>3.46</v>
      </c>
      <c r="U9" s="142">
        <v>-0.09</v>
      </c>
      <c r="V9" s="142">
        <v>1.34</v>
      </c>
      <c r="W9" s="142">
        <v>0</v>
      </c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120"/>
      <c r="BC9" s="25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</row>
    <row r="10" spans="1:200" ht="15" customHeight="1" x14ac:dyDescent="0.2">
      <c r="A10" s="2"/>
      <c r="B10" s="24" t="str">
        <f t="shared" si="0"/>
        <v>[ROW:MAR_2016]</v>
      </c>
      <c r="C10" s="29">
        <f>IF(OR(Client_Info!$D$14="",Client_Info!$D$15=""),"",IF(EOMONTH(Client_Info!$D$14,2)&lt;=Client_Info!$D$15,EOMONTH(Client_Info!$D$14,2),""))</f>
        <v>42460</v>
      </c>
      <c r="D10" s="142">
        <v>3.15</v>
      </c>
      <c r="E10" s="142">
        <v>3.38</v>
      </c>
      <c r="F10" s="142">
        <v>3.17</v>
      </c>
      <c r="G10" s="142">
        <v>3.2</v>
      </c>
      <c r="H10" s="142">
        <v>3.71</v>
      </c>
      <c r="I10" s="142">
        <v>-0.56000000000000005</v>
      </c>
      <c r="J10" s="142">
        <v>4.91</v>
      </c>
      <c r="K10" s="142">
        <v>3</v>
      </c>
      <c r="L10" s="142">
        <v>5.99</v>
      </c>
      <c r="M10" s="142">
        <v>-6.53</v>
      </c>
      <c r="N10" s="142">
        <v>-6.71</v>
      </c>
      <c r="O10" s="142">
        <v>-0.02</v>
      </c>
      <c r="P10" s="142">
        <v>1.48</v>
      </c>
      <c r="Q10" s="142">
        <v>-3.1</v>
      </c>
      <c r="R10" s="142">
        <v>0.27</v>
      </c>
      <c r="S10" s="142">
        <v>2.72</v>
      </c>
      <c r="T10" s="142">
        <v>-0.57999999999999996</v>
      </c>
      <c r="U10" s="142">
        <v>-0.37</v>
      </c>
      <c r="V10" s="142">
        <v>-0.74</v>
      </c>
      <c r="W10" s="142">
        <v>7.0000000000000007E-2</v>
      </c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120"/>
      <c r="BC10" s="25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</row>
    <row r="11" spans="1:200" ht="15" customHeight="1" x14ac:dyDescent="0.2">
      <c r="A11" s="2"/>
      <c r="B11" s="24" t="str">
        <f t="shared" si="0"/>
        <v>[ROW:APR_2016]</v>
      </c>
      <c r="C11" s="29">
        <f>IF(OR(Client_Info!$D$14="",Client_Info!$D$15=""),"",IF(EOMONTH(Client_Info!$D$14,3)&lt;=Client_Info!$D$15,EOMONTH(Client_Info!$D$14,3),""))</f>
        <v>42490</v>
      </c>
      <c r="D11" s="142">
        <v>6.01</v>
      </c>
      <c r="E11" s="142">
        <v>7.46</v>
      </c>
      <c r="F11" s="142">
        <v>7.94</v>
      </c>
      <c r="G11" s="142">
        <v>5.4</v>
      </c>
      <c r="H11" s="142">
        <v>2.97</v>
      </c>
      <c r="I11" s="142">
        <v>2.4900000000000002</v>
      </c>
      <c r="J11" s="142">
        <v>6.1</v>
      </c>
      <c r="K11" s="142">
        <v>5.66</v>
      </c>
      <c r="L11" s="142">
        <v>5.29</v>
      </c>
      <c r="M11" s="142">
        <v>4.24</v>
      </c>
      <c r="N11" s="142">
        <v>8.9600000000000009</v>
      </c>
      <c r="O11" s="142">
        <v>0.74</v>
      </c>
      <c r="P11" s="142">
        <v>3.69</v>
      </c>
      <c r="Q11" s="142">
        <v>3.2</v>
      </c>
      <c r="R11" s="142">
        <v>1.43</v>
      </c>
      <c r="S11" s="142">
        <v>1.1599999999999999</v>
      </c>
      <c r="T11" s="142">
        <v>-2.42</v>
      </c>
      <c r="U11" s="142">
        <v>0.03</v>
      </c>
      <c r="V11" s="142">
        <v>1.0900000000000001</v>
      </c>
      <c r="W11" s="142">
        <v>-0.03</v>
      </c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120"/>
      <c r="BC11" s="25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</row>
    <row r="12" spans="1:200" ht="15" customHeight="1" x14ac:dyDescent="0.2">
      <c r="A12" s="2"/>
      <c r="B12" s="24" t="str">
        <f t="shared" si="0"/>
        <v>[ROW:MAY_2016]</v>
      </c>
      <c r="C12" s="29">
        <f>IF(OR(Client_Info!$D$14="",Client_Info!$D$15=""),"",IF(EOMONTH(Client_Info!$D$14,4)&lt;=Client_Info!$D$15,EOMONTH(Client_Info!$D$14,4),""))</f>
        <v>42521</v>
      </c>
      <c r="D12" s="142">
        <v>-1.93</v>
      </c>
      <c r="E12" s="142">
        <v>2.04</v>
      </c>
      <c r="F12" s="142">
        <v>-1.08</v>
      </c>
      <c r="G12" s="142">
        <v>-2.44</v>
      </c>
      <c r="H12" s="142">
        <v>-4.8600000000000003</v>
      </c>
      <c r="I12" s="142">
        <v>6.79</v>
      </c>
      <c r="J12" s="142">
        <v>7.99</v>
      </c>
      <c r="K12" s="142">
        <v>4.78</v>
      </c>
      <c r="L12" s="142">
        <v>6.83</v>
      </c>
      <c r="M12" s="142">
        <v>-4.99</v>
      </c>
      <c r="N12" s="142">
        <v>4.37</v>
      </c>
      <c r="O12" s="142">
        <v>0.74</v>
      </c>
      <c r="P12" s="142">
        <v>2.14</v>
      </c>
      <c r="Q12" s="142">
        <v>0.4</v>
      </c>
      <c r="R12" s="142">
        <v>-0.79</v>
      </c>
      <c r="S12" s="142">
        <v>1.45</v>
      </c>
      <c r="T12" s="142">
        <v>0.55000000000000004</v>
      </c>
      <c r="U12" s="142">
        <v>-0.41</v>
      </c>
      <c r="V12" s="142">
        <v>-1.44</v>
      </c>
      <c r="W12" s="142">
        <v>0.06</v>
      </c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120"/>
      <c r="BC12" s="25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</row>
    <row r="13" spans="1:200" ht="15" customHeight="1" x14ac:dyDescent="0.2">
      <c r="A13" s="2"/>
      <c r="B13" s="24" t="str">
        <f t="shared" si="0"/>
        <v>[ROW:JUN_2016]</v>
      </c>
      <c r="C13" s="29">
        <f>IF(OR(Client_Info!$D$14="",Client_Info!$D$15=""),"",IF(EOMONTH(Client_Info!$D$14,5)&lt;=Client_Info!$D$15,EOMONTH(Client_Info!$D$14,5),""))</f>
        <v>42551</v>
      </c>
      <c r="D13" s="142">
        <v>-1.68</v>
      </c>
      <c r="E13" s="142">
        <v>-7.0000000000000007E-2</v>
      </c>
      <c r="F13" s="142">
        <v>1.73</v>
      </c>
      <c r="G13" s="142">
        <v>-1.94</v>
      </c>
      <c r="H13" s="142">
        <v>-0.43</v>
      </c>
      <c r="I13" s="142">
        <v>0.64</v>
      </c>
      <c r="J13" s="142">
        <v>6.93</v>
      </c>
      <c r="K13" s="142">
        <v>4.92</v>
      </c>
      <c r="L13" s="142">
        <v>7.67</v>
      </c>
      <c r="M13" s="142">
        <v>-0.32</v>
      </c>
      <c r="N13" s="142">
        <v>-4</v>
      </c>
      <c r="O13" s="142">
        <v>2.13</v>
      </c>
      <c r="P13" s="142">
        <v>3.42</v>
      </c>
      <c r="Q13" s="142">
        <v>5.13</v>
      </c>
      <c r="R13" s="142">
        <v>-0.09</v>
      </c>
      <c r="S13" s="142">
        <v>-3.31</v>
      </c>
      <c r="T13" s="142">
        <v>0.38</v>
      </c>
      <c r="U13" s="142">
        <v>1.98</v>
      </c>
      <c r="V13" s="142">
        <v>1.86</v>
      </c>
      <c r="W13" s="142">
        <v>0.02</v>
      </c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120"/>
      <c r="BC13" s="25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</row>
    <row r="14" spans="1:200" ht="15" customHeight="1" x14ac:dyDescent="0.2">
      <c r="A14" s="2"/>
      <c r="B14" s="24" t="str">
        <f t="shared" si="0"/>
        <v>[ROW:JUL_2016]</v>
      </c>
      <c r="C14" s="29">
        <f>IF(OR(Client_Info!$D$14="",Client_Info!$D$15=""),"",IF(EOMONTH(Client_Info!$D$14,6)&lt;=Client_Info!$D$15,EOMONTH(Client_Info!$D$14,6),""))</f>
        <v>42582</v>
      </c>
      <c r="D14" s="142">
        <v>8.31</v>
      </c>
      <c r="E14" s="142">
        <v>5.43</v>
      </c>
      <c r="F14" s="142">
        <v>7.96</v>
      </c>
      <c r="G14" s="142">
        <v>-2.27</v>
      </c>
      <c r="H14" s="142">
        <v>-0.67</v>
      </c>
      <c r="I14" s="142">
        <v>0.08</v>
      </c>
      <c r="J14" s="142">
        <v>0.68</v>
      </c>
      <c r="K14" s="142">
        <v>-0.62</v>
      </c>
      <c r="L14" s="142">
        <v>-0.2</v>
      </c>
      <c r="M14" s="142">
        <v>0.34</v>
      </c>
      <c r="N14" s="142">
        <v>3.05</v>
      </c>
      <c r="O14" s="142">
        <v>-1.1599999999999999</v>
      </c>
      <c r="P14" s="142">
        <v>2.42</v>
      </c>
      <c r="Q14" s="142">
        <v>2.2200000000000002</v>
      </c>
      <c r="R14" s="142">
        <v>1.58</v>
      </c>
      <c r="S14" s="142">
        <v>-1.8</v>
      </c>
      <c r="T14" s="142">
        <v>0.44</v>
      </c>
      <c r="U14" s="142">
        <v>0.19</v>
      </c>
      <c r="V14" s="142">
        <v>-0.08</v>
      </c>
      <c r="W14" s="142">
        <v>0.05</v>
      </c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120"/>
      <c r="BC14" s="25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</row>
    <row r="15" spans="1:200" ht="15" customHeight="1" x14ac:dyDescent="0.2">
      <c r="A15" s="2"/>
      <c r="B15" s="24" t="str">
        <f t="shared" si="0"/>
        <v>[ROW:AUG_2016]</v>
      </c>
      <c r="C15" s="29">
        <f>IF(OR(Client_Info!$D$14="",Client_Info!$D$15=""),"",IF(EOMONTH(Client_Info!$D$14,7)&lt;=Client_Info!$D$15,EOMONTH(Client_Info!$D$14,7),""))</f>
        <v>42613</v>
      </c>
      <c r="D15" s="142">
        <v>5.08</v>
      </c>
      <c r="E15" s="142">
        <v>3.99</v>
      </c>
      <c r="F15" s="142">
        <v>4.43</v>
      </c>
      <c r="G15" s="142">
        <v>-3.51</v>
      </c>
      <c r="H15" s="142">
        <v>-2.44</v>
      </c>
      <c r="I15" s="142">
        <v>2.0499999999999998</v>
      </c>
      <c r="J15" s="142">
        <v>-4.16</v>
      </c>
      <c r="K15" s="142">
        <v>-7.28</v>
      </c>
      <c r="L15" s="142">
        <v>-4.38</v>
      </c>
      <c r="M15" s="142">
        <v>6.25</v>
      </c>
      <c r="N15" s="142">
        <v>-3.61</v>
      </c>
      <c r="O15" s="142">
        <v>5.07</v>
      </c>
      <c r="P15" s="142">
        <v>3.15</v>
      </c>
      <c r="Q15" s="142">
        <v>1.61</v>
      </c>
      <c r="R15" s="142">
        <v>0.39</v>
      </c>
      <c r="S15" s="142">
        <v>1.5</v>
      </c>
      <c r="T15" s="142">
        <v>2.23</v>
      </c>
      <c r="U15" s="142">
        <v>0.28000000000000003</v>
      </c>
      <c r="V15" s="142">
        <v>-0.57999999999999996</v>
      </c>
      <c r="W15" s="142">
        <v>0.03</v>
      </c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120"/>
      <c r="BC15" s="25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</row>
    <row r="16" spans="1:200" ht="15" customHeight="1" x14ac:dyDescent="0.2">
      <c r="A16" s="2"/>
      <c r="B16" s="24" t="str">
        <f t="shared" si="0"/>
        <v>[ROW:SEP_2016]</v>
      </c>
      <c r="C16" s="29">
        <f>IF(OR(Client_Info!$D$14="",Client_Info!$D$15=""),"",IF(EOMONTH(Client_Info!$D$14,8)&lt;=Client_Info!$D$15,EOMONTH(Client_Info!$D$14,8),""))</f>
        <v>42643</v>
      </c>
      <c r="D16" s="142">
        <v>-2.69</v>
      </c>
      <c r="E16" s="142">
        <v>0.03</v>
      </c>
      <c r="F16" s="142">
        <v>-1.38</v>
      </c>
      <c r="G16" s="142">
        <v>7.45</v>
      </c>
      <c r="H16" s="142">
        <v>6.99</v>
      </c>
      <c r="I16" s="142">
        <v>2.4700000000000002</v>
      </c>
      <c r="J16" s="142">
        <v>0.27</v>
      </c>
      <c r="K16" s="142">
        <v>-3.31</v>
      </c>
      <c r="L16" s="142">
        <v>-4.42</v>
      </c>
      <c r="M16" s="142">
        <v>-2.13</v>
      </c>
      <c r="N16" s="142">
        <v>2.23</v>
      </c>
      <c r="O16" s="142">
        <v>0.06</v>
      </c>
      <c r="P16" s="142">
        <v>0.72</v>
      </c>
      <c r="Q16" s="142">
        <v>0.85</v>
      </c>
      <c r="R16" s="142">
        <v>-3.18</v>
      </c>
      <c r="S16" s="142">
        <v>-2.85</v>
      </c>
      <c r="T16" s="142">
        <v>1.02</v>
      </c>
      <c r="U16" s="142">
        <v>0.51</v>
      </c>
      <c r="V16" s="142">
        <v>1.77</v>
      </c>
      <c r="W16" s="142">
        <v>0.06</v>
      </c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120"/>
      <c r="BC16" s="25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</row>
    <row r="17" spans="1:200" ht="15" customHeight="1" x14ac:dyDescent="0.2">
      <c r="A17" s="2"/>
      <c r="B17" s="24" t="str">
        <f t="shared" si="0"/>
        <v>[ROW:OCT_2016]</v>
      </c>
      <c r="C17" s="29">
        <f>IF(OR(Client_Info!$D$14="",Client_Info!$D$15=""),"",IF(EOMONTH(Client_Info!$D$14,9)&lt;=Client_Info!$D$15,EOMONTH(Client_Info!$D$14,9),""))</f>
        <v>42674</v>
      </c>
      <c r="D17" s="142">
        <v>4.55</v>
      </c>
      <c r="E17" s="142">
        <v>4.9800000000000004</v>
      </c>
      <c r="F17" s="142">
        <v>3.7</v>
      </c>
      <c r="G17" s="142">
        <v>2.76</v>
      </c>
      <c r="H17" s="142">
        <v>3.53</v>
      </c>
      <c r="I17" s="142">
        <v>-4.88</v>
      </c>
      <c r="J17" s="142">
        <v>2.16</v>
      </c>
      <c r="K17" s="142">
        <v>5.38</v>
      </c>
      <c r="L17" s="142">
        <v>3.64</v>
      </c>
      <c r="M17" s="142">
        <v>-0.71</v>
      </c>
      <c r="N17" s="142">
        <v>-3.95</v>
      </c>
      <c r="O17" s="142">
        <v>-0.38</v>
      </c>
      <c r="P17" s="142">
        <v>-1.49</v>
      </c>
      <c r="Q17" s="142">
        <v>0.52</v>
      </c>
      <c r="R17" s="142">
        <v>1.31</v>
      </c>
      <c r="S17" s="142">
        <v>0.84</v>
      </c>
      <c r="T17" s="142">
        <v>-1.36</v>
      </c>
      <c r="U17" s="142">
        <v>-0.67</v>
      </c>
      <c r="V17" s="142">
        <v>0.72</v>
      </c>
      <c r="W17" s="142">
        <v>0.01</v>
      </c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120"/>
      <c r="BC17" s="25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</row>
    <row r="18" spans="1:200" ht="15" customHeight="1" x14ac:dyDescent="0.2">
      <c r="A18" s="2"/>
      <c r="B18" s="24" t="str">
        <f t="shared" si="0"/>
        <v>[ROW:NOV_2016]</v>
      </c>
      <c r="C18" s="29">
        <f>IF(OR(Client_Info!$D$14="",Client_Info!$D$15=""),"",IF(EOMONTH(Client_Info!$D$14,10)&lt;=Client_Info!$D$15,EOMONTH(Client_Info!$D$14,10),""))</f>
        <v>42704</v>
      </c>
      <c r="D18" s="142">
        <v>-1.4</v>
      </c>
      <c r="E18" s="142">
        <v>-2.4500000000000002</v>
      </c>
      <c r="F18" s="142">
        <v>0.31</v>
      </c>
      <c r="G18" s="142">
        <v>-3.37</v>
      </c>
      <c r="H18" s="142">
        <v>-2.88</v>
      </c>
      <c r="I18" s="142">
        <v>2.1</v>
      </c>
      <c r="J18" s="142">
        <v>5.71</v>
      </c>
      <c r="K18" s="142">
        <v>3.54</v>
      </c>
      <c r="L18" s="142">
        <v>4.3899999999999997</v>
      </c>
      <c r="M18" s="142">
        <v>0.51</v>
      </c>
      <c r="N18" s="142">
        <v>-0.73</v>
      </c>
      <c r="O18" s="142">
        <v>-0.11</v>
      </c>
      <c r="P18" s="142">
        <v>0</v>
      </c>
      <c r="Q18" s="142">
        <v>0.45</v>
      </c>
      <c r="R18" s="142">
        <v>-2.04</v>
      </c>
      <c r="S18" s="142">
        <v>2.71</v>
      </c>
      <c r="T18" s="142">
        <v>1.72</v>
      </c>
      <c r="U18" s="142">
        <v>0.7</v>
      </c>
      <c r="V18" s="142">
        <v>0.72</v>
      </c>
      <c r="W18" s="142">
        <v>-0.01</v>
      </c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120"/>
      <c r="BC18" s="25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</row>
    <row r="19" spans="1:200" ht="15" customHeight="1" x14ac:dyDescent="0.2">
      <c r="A19" s="2"/>
      <c r="B19" s="24" t="str">
        <f t="shared" si="0"/>
        <v>[ROW:DEC_2016]</v>
      </c>
      <c r="C19" s="29">
        <f>IF(OR(Client_Info!$D$14="",Client_Info!$D$15=""),"",IF(EOMONTH(Client_Info!$D$14,11)&lt;=Client_Info!$D$15,EOMONTH(Client_Info!$D$14,11),""))</f>
        <v>42735</v>
      </c>
      <c r="D19" s="142">
        <v>-0.68</v>
      </c>
      <c r="E19" s="142">
        <v>-0.48</v>
      </c>
      <c r="F19" s="142">
        <v>-2.14</v>
      </c>
      <c r="G19" s="142">
        <v>4.21</v>
      </c>
      <c r="H19" s="142">
        <v>5.16</v>
      </c>
      <c r="I19" s="142">
        <v>5.6</v>
      </c>
      <c r="J19" s="142">
        <v>0.71</v>
      </c>
      <c r="K19" s="142">
        <v>4.46</v>
      </c>
      <c r="L19" s="142">
        <v>0.72</v>
      </c>
      <c r="M19" s="142">
        <v>-7.53</v>
      </c>
      <c r="N19" s="142">
        <v>2.72</v>
      </c>
      <c r="O19" s="142">
        <v>0.02</v>
      </c>
      <c r="P19" s="142">
        <v>-0.21</v>
      </c>
      <c r="Q19" s="142">
        <v>-1.41</v>
      </c>
      <c r="R19" s="142">
        <v>-0.92</v>
      </c>
      <c r="S19" s="142">
        <v>2.35</v>
      </c>
      <c r="T19" s="142">
        <v>1.87</v>
      </c>
      <c r="U19" s="142">
        <v>-0.08</v>
      </c>
      <c r="V19" s="142">
        <v>-0.91</v>
      </c>
      <c r="W19" s="142">
        <v>7.0000000000000007E-2</v>
      </c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120"/>
      <c r="BC19" s="25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</row>
    <row r="20" spans="1:200" ht="15" customHeight="1" x14ac:dyDescent="0.2">
      <c r="A20" s="2"/>
      <c r="B20" s="24" t="str">
        <f t="shared" si="0"/>
        <v>[ROW:JAN_2017]</v>
      </c>
      <c r="C20" s="29">
        <f>IF(OR(Client_Info!$D$14="",Client_Info!$D$15=""),"",IF(EOMONTH(Client_Info!$D$14,12)&lt;=Client_Info!$D$15,EOMONTH(Client_Info!$D$14,12),""))</f>
        <v>42766</v>
      </c>
      <c r="D20" s="142">
        <v>4.08</v>
      </c>
      <c r="E20" s="142">
        <v>1.41</v>
      </c>
      <c r="F20" s="142">
        <v>1.22</v>
      </c>
      <c r="G20" s="142">
        <v>8.7899999999999991</v>
      </c>
      <c r="H20" s="142">
        <v>9.1199999999999992</v>
      </c>
      <c r="I20" s="142">
        <v>6.71</v>
      </c>
      <c r="J20" s="142">
        <v>1.64</v>
      </c>
      <c r="K20" s="142">
        <v>1.37</v>
      </c>
      <c r="L20" s="142">
        <v>0.24</v>
      </c>
      <c r="M20" s="142">
        <v>1.95</v>
      </c>
      <c r="N20" s="142">
        <v>-5.23</v>
      </c>
      <c r="O20" s="142">
        <v>-2.0299999999999998</v>
      </c>
      <c r="P20" s="142">
        <v>1.67</v>
      </c>
      <c r="Q20" s="142">
        <v>4.9400000000000004</v>
      </c>
      <c r="R20" s="142">
        <v>0.06</v>
      </c>
      <c r="S20" s="142">
        <v>-0.06</v>
      </c>
      <c r="T20" s="142">
        <v>-0.85</v>
      </c>
      <c r="U20" s="142">
        <v>1.82</v>
      </c>
      <c r="V20" s="142">
        <v>1.48</v>
      </c>
      <c r="W20" s="142">
        <v>0.02</v>
      </c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120"/>
      <c r="BC20" s="25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</row>
    <row r="21" spans="1:200" ht="15" customHeight="1" x14ac:dyDescent="0.2">
      <c r="A21" s="2"/>
      <c r="B21" s="24" t="str">
        <f t="shared" si="0"/>
        <v>[ROW:FEB_2017]</v>
      </c>
      <c r="C21" s="29">
        <f>IF(OR(Client_Info!$D$14="",Client_Info!$D$15=""),"",IF(EOMONTH(Client_Info!$D$14,13)&lt;=Client_Info!$D$15,EOMONTH(Client_Info!$D$14,13),""))</f>
        <v>42794</v>
      </c>
      <c r="D21" s="142">
        <v>-6.08</v>
      </c>
      <c r="E21" s="142">
        <v>-7.15</v>
      </c>
      <c r="F21" s="142">
        <v>-7.6</v>
      </c>
      <c r="G21" s="142">
        <v>4.93</v>
      </c>
      <c r="H21" s="142">
        <v>3.81</v>
      </c>
      <c r="I21" s="142">
        <v>4.45</v>
      </c>
      <c r="J21" s="142">
        <v>-7.0000000000000007E-2</v>
      </c>
      <c r="K21" s="142">
        <v>2.96</v>
      </c>
      <c r="L21" s="142">
        <v>-1.69</v>
      </c>
      <c r="M21" s="142">
        <v>-2.46</v>
      </c>
      <c r="N21" s="142">
        <v>-8.42</v>
      </c>
      <c r="O21" s="142">
        <v>3.81</v>
      </c>
      <c r="P21" s="142">
        <v>0.61</v>
      </c>
      <c r="Q21" s="142">
        <v>4</v>
      </c>
      <c r="R21" s="142">
        <v>1.36</v>
      </c>
      <c r="S21" s="142">
        <v>3.07</v>
      </c>
      <c r="T21" s="142">
        <v>3.75</v>
      </c>
      <c r="U21" s="142">
        <v>-1.78</v>
      </c>
      <c r="V21" s="142">
        <v>-1.23</v>
      </c>
      <c r="W21" s="142">
        <v>0.03</v>
      </c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120"/>
      <c r="BC21" s="25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</row>
    <row r="22" spans="1:200" ht="15" customHeight="1" x14ac:dyDescent="0.2">
      <c r="A22" s="2"/>
      <c r="B22" s="24" t="str">
        <f t="shared" si="0"/>
        <v>[ROW:MAR_2017]</v>
      </c>
      <c r="C22" s="29">
        <f>IF(OR(Client_Info!$D$14="",Client_Info!$D$15=""),"",IF(EOMONTH(Client_Info!$D$14,14)&lt;=Client_Info!$D$15,EOMONTH(Client_Info!$D$14,14),""))</f>
        <v>42825</v>
      </c>
      <c r="D22" s="142">
        <v>-6.61</v>
      </c>
      <c r="E22" s="142">
        <v>-4.37</v>
      </c>
      <c r="F22" s="142">
        <v>-8.2899999999999991</v>
      </c>
      <c r="G22" s="142">
        <v>-6.52</v>
      </c>
      <c r="H22" s="142">
        <v>-6.52</v>
      </c>
      <c r="I22" s="142">
        <v>13.45</v>
      </c>
      <c r="J22" s="142">
        <v>6.18</v>
      </c>
      <c r="K22" s="142">
        <v>5.91</v>
      </c>
      <c r="L22" s="142">
        <v>5.83</v>
      </c>
      <c r="M22" s="142">
        <v>5.41</v>
      </c>
      <c r="N22" s="142">
        <v>1.42</v>
      </c>
      <c r="O22" s="142">
        <v>2.4</v>
      </c>
      <c r="P22" s="142">
        <v>-0.69</v>
      </c>
      <c r="Q22" s="142">
        <v>-0.47</v>
      </c>
      <c r="R22" s="142">
        <v>0.81</v>
      </c>
      <c r="S22" s="142">
        <v>1.47</v>
      </c>
      <c r="T22" s="142">
        <v>1.96</v>
      </c>
      <c r="U22" s="142">
        <v>0.24</v>
      </c>
      <c r="V22" s="142">
        <v>0.63</v>
      </c>
      <c r="W22" s="142">
        <v>0.06</v>
      </c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120"/>
      <c r="BC22" s="25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</row>
    <row r="23" spans="1:200" ht="15" customHeight="1" x14ac:dyDescent="0.2">
      <c r="A23" s="2"/>
      <c r="B23" s="24" t="str">
        <f t="shared" si="0"/>
        <v>[ROW:APR_2017]</v>
      </c>
      <c r="C23" s="29">
        <f>IF(OR(Client_Info!$D$14="",Client_Info!$D$15=""),"",IF(EOMONTH(Client_Info!$D$14,15)&lt;=Client_Info!$D$15,EOMONTH(Client_Info!$D$14,15),""))</f>
        <v>42855</v>
      </c>
      <c r="D23" s="142">
        <v>-2.2999999999999998</v>
      </c>
      <c r="E23" s="142">
        <v>-2.19</v>
      </c>
      <c r="F23" s="142">
        <v>-2.4900000000000002</v>
      </c>
      <c r="G23" s="142">
        <v>1.04</v>
      </c>
      <c r="H23" s="142">
        <v>-0.97</v>
      </c>
      <c r="I23" s="142">
        <v>-2.8</v>
      </c>
      <c r="J23" s="142">
        <v>4.28</v>
      </c>
      <c r="K23" s="142">
        <v>5.98</v>
      </c>
      <c r="L23" s="142">
        <v>4.13</v>
      </c>
      <c r="M23" s="142">
        <v>16.350000000000001</v>
      </c>
      <c r="N23" s="142">
        <v>8.11</v>
      </c>
      <c r="O23" s="142">
        <v>0.56000000000000005</v>
      </c>
      <c r="P23" s="142">
        <v>-2.77</v>
      </c>
      <c r="Q23" s="142">
        <v>-1.21</v>
      </c>
      <c r="R23" s="142">
        <v>5.54</v>
      </c>
      <c r="S23" s="142">
        <v>0.82</v>
      </c>
      <c r="T23" s="142">
        <v>-1.51</v>
      </c>
      <c r="U23" s="142">
        <v>2.42</v>
      </c>
      <c r="V23" s="142">
        <v>2.62</v>
      </c>
      <c r="W23" s="142">
        <v>0</v>
      </c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120"/>
      <c r="BC23" s="25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</row>
    <row r="24" spans="1:200" ht="15" customHeight="1" x14ac:dyDescent="0.2">
      <c r="A24" s="2"/>
      <c r="B24" s="24" t="str">
        <f t="shared" si="0"/>
        <v>[ROW:MAY_2017]</v>
      </c>
      <c r="C24" s="29">
        <f>IF(OR(Client_Info!$D$14="",Client_Info!$D$15=""),"",IF(EOMONTH(Client_Info!$D$14,16)&lt;=Client_Info!$D$15,EOMONTH(Client_Info!$D$14,16),""))</f>
        <v>42886</v>
      </c>
      <c r="D24" s="142">
        <v>-5.7</v>
      </c>
      <c r="E24" s="142">
        <v>-3.32</v>
      </c>
      <c r="F24" s="142">
        <v>-3.95</v>
      </c>
      <c r="G24" s="142">
        <v>3.85</v>
      </c>
      <c r="H24" s="142">
        <v>6</v>
      </c>
      <c r="I24" s="142">
        <v>6.12</v>
      </c>
      <c r="J24" s="142">
        <v>4.3600000000000003</v>
      </c>
      <c r="K24" s="142">
        <v>1.06</v>
      </c>
      <c r="L24" s="142">
        <v>2.0699999999999998</v>
      </c>
      <c r="M24" s="142">
        <v>-1.61</v>
      </c>
      <c r="N24" s="142">
        <v>-1.36</v>
      </c>
      <c r="O24" s="142">
        <v>0.85</v>
      </c>
      <c r="P24" s="142">
        <v>-3.9</v>
      </c>
      <c r="Q24" s="142">
        <v>0.45</v>
      </c>
      <c r="R24" s="142">
        <v>0.59</v>
      </c>
      <c r="S24" s="142">
        <v>-1.57</v>
      </c>
      <c r="T24" s="142">
        <v>1.1000000000000001</v>
      </c>
      <c r="U24" s="142">
        <v>-1.51</v>
      </c>
      <c r="V24" s="142">
        <v>-0.59</v>
      </c>
      <c r="W24" s="142">
        <v>0.04</v>
      </c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120"/>
      <c r="BC24" s="25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</row>
    <row r="25" spans="1:200" ht="15" customHeight="1" x14ac:dyDescent="0.2">
      <c r="A25" s="2"/>
      <c r="B25" s="24" t="str">
        <f t="shared" si="0"/>
        <v>[ROW:JUN_2017]</v>
      </c>
      <c r="C25" s="29">
        <f>IF(OR(Client_Info!$D$14="",Client_Info!$D$15=""),"",IF(EOMONTH(Client_Info!$D$14,17)&lt;=Client_Info!$D$15,EOMONTH(Client_Info!$D$14,17),""))</f>
        <v>42916</v>
      </c>
      <c r="D25" s="142">
        <v>1.7</v>
      </c>
      <c r="E25" s="142">
        <v>2.75</v>
      </c>
      <c r="F25" s="142">
        <v>3.75</v>
      </c>
      <c r="G25" s="142">
        <v>-2.06</v>
      </c>
      <c r="H25" s="142">
        <v>-0.99</v>
      </c>
      <c r="I25" s="142">
        <v>2.2400000000000002</v>
      </c>
      <c r="J25" s="142">
        <v>5.65</v>
      </c>
      <c r="K25" s="142">
        <v>5.3</v>
      </c>
      <c r="L25" s="142">
        <v>3.49</v>
      </c>
      <c r="M25" s="142">
        <v>12.75</v>
      </c>
      <c r="N25" s="142">
        <v>-2.54</v>
      </c>
      <c r="O25" s="142">
        <v>7.0000000000000007E-2</v>
      </c>
      <c r="P25" s="142">
        <v>-5.9</v>
      </c>
      <c r="Q25" s="142">
        <v>-5.54</v>
      </c>
      <c r="R25" s="142">
        <v>1</v>
      </c>
      <c r="S25" s="142">
        <v>-0.31</v>
      </c>
      <c r="T25" s="142">
        <v>0.93</v>
      </c>
      <c r="U25" s="142">
        <v>-0.28000000000000003</v>
      </c>
      <c r="V25" s="142">
        <v>0.33</v>
      </c>
      <c r="W25" s="142">
        <v>0.01</v>
      </c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120"/>
      <c r="BC25" s="25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</row>
    <row r="26" spans="1:200" ht="15" customHeight="1" x14ac:dyDescent="0.2">
      <c r="A26" s="2"/>
      <c r="B26" s="24" t="str">
        <f t="shared" si="0"/>
        <v>[ROW:JUL_2017]</v>
      </c>
      <c r="C26" s="29">
        <f>IF(OR(Client_Info!$D$14="",Client_Info!$D$15=""),"",IF(EOMONTH(Client_Info!$D$14,18)&lt;=Client_Info!$D$15,EOMONTH(Client_Info!$D$14,18),""))</f>
        <v>42947</v>
      </c>
      <c r="D26" s="142">
        <v>-3.01</v>
      </c>
      <c r="E26" s="142">
        <v>-1.66</v>
      </c>
      <c r="F26" s="142">
        <v>-2.4300000000000002</v>
      </c>
      <c r="G26" s="142">
        <v>4.71</v>
      </c>
      <c r="H26" s="142">
        <v>2.91</v>
      </c>
      <c r="I26" s="142">
        <v>12.73</v>
      </c>
      <c r="J26" s="142">
        <v>1.66</v>
      </c>
      <c r="K26" s="142">
        <v>4.0199999999999996</v>
      </c>
      <c r="L26" s="142">
        <v>3.61</v>
      </c>
      <c r="M26" s="142">
        <v>9.64</v>
      </c>
      <c r="N26" s="142">
        <v>8.4</v>
      </c>
      <c r="O26" s="142">
        <v>0.62</v>
      </c>
      <c r="P26" s="142">
        <v>-1.84</v>
      </c>
      <c r="Q26" s="142">
        <v>3.74</v>
      </c>
      <c r="R26" s="142">
        <v>-1.1299999999999999</v>
      </c>
      <c r="S26" s="142">
        <v>1.28</v>
      </c>
      <c r="T26" s="142">
        <v>1.79</v>
      </c>
      <c r="U26" s="142">
        <v>0.53</v>
      </c>
      <c r="V26" s="142">
        <v>1.2</v>
      </c>
      <c r="W26" s="142">
        <v>0.02</v>
      </c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120"/>
      <c r="BC26" s="25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</row>
    <row r="27" spans="1:200" ht="15" customHeight="1" x14ac:dyDescent="0.2">
      <c r="A27" s="2"/>
      <c r="B27" s="24" t="str">
        <f t="shared" si="0"/>
        <v>[ROW:AUG_2017]</v>
      </c>
      <c r="C27" s="29">
        <f>IF(OR(Client_Info!$D$14="",Client_Info!$D$15=""),"",IF(EOMONTH(Client_Info!$D$14,19)&lt;=Client_Info!$D$15,EOMONTH(Client_Info!$D$14,19),""))</f>
        <v>42978</v>
      </c>
      <c r="D27" s="142">
        <v>-6.09</v>
      </c>
      <c r="E27" s="142">
        <v>-5.32</v>
      </c>
      <c r="F27" s="142">
        <v>-4.71</v>
      </c>
      <c r="G27" s="142">
        <v>3.72</v>
      </c>
      <c r="H27" s="142">
        <v>2.0699999999999998</v>
      </c>
      <c r="I27" s="142">
        <v>-5.32</v>
      </c>
      <c r="J27" s="142">
        <v>1.67</v>
      </c>
      <c r="K27" s="142">
        <v>2.34</v>
      </c>
      <c r="L27" s="142">
        <v>2.46</v>
      </c>
      <c r="M27" s="142">
        <v>6.06</v>
      </c>
      <c r="N27" s="142">
        <v>6.64</v>
      </c>
      <c r="O27" s="142">
        <v>1.1299999999999999</v>
      </c>
      <c r="P27" s="142">
        <v>0.86</v>
      </c>
      <c r="Q27" s="142">
        <v>0.28999999999999998</v>
      </c>
      <c r="R27" s="142">
        <v>3.78</v>
      </c>
      <c r="S27" s="142">
        <v>1.74</v>
      </c>
      <c r="T27" s="142">
        <v>0.23</v>
      </c>
      <c r="U27" s="142">
        <v>0.37</v>
      </c>
      <c r="V27" s="142">
        <v>-0.12</v>
      </c>
      <c r="W27" s="142">
        <v>0.03</v>
      </c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120"/>
      <c r="BC27" s="25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</row>
    <row r="28" spans="1:200" ht="15" customHeight="1" x14ac:dyDescent="0.2">
      <c r="A28" s="2"/>
      <c r="B28" s="24" t="str">
        <f t="shared" si="0"/>
        <v>[ROW:SEP_2017]</v>
      </c>
      <c r="C28" s="29">
        <f>IF(OR(Client_Info!$D$14="",Client_Info!$D$15=""),"",IF(EOMONTH(Client_Info!$D$14,20)&lt;=Client_Info!$D$15,EOMONTH(Client_Info!$D$14,20),""))</f>
        <v>43008</v>
      </c>
      <c r="D28" s="142">
        <v>7.36</v>
      </c>
      <c r="E28" s="142">
        <v>7.76</v>
      </c>
      <c r="F28" s="142">
        <v>8.6999999999999993</v>
      </c>
      <c r="G28" s="142">
        <v>-3.38</v>
      </c>
      <c r="H28" s="142">
        <v>-2.2200000000000002</v>
      </c>
      <c r="I28" s="142">
        <v>-2.06</v>
      </c>
      <c r="J28" s="142">
        <v>-1.24</v>
      </c>
      <c r="K28" s="142">
        <v>-1.75</v>
      </c>
      <c r="L28" s="142">
        <v>1.67</v>
      </c>
      <c r="M28" s="142">
        <v>-5.9</v>
      </c>
      <c r="N28" s="142">
        <v>-2.11</v>
      </c>
      <c r="O28" s="142">
        <v>1.92</v>
      </c>
      <c r="P28" s="142">
        <v>1.4</v>
      </c>
      <c r="Q28" s="142">
        <v>6.8</v>
      </c>
      <c r="R28" s="142">
        <v>0.23</v>
      </c>
      <c r="S28" s="142">
        <v>-0.9</v>
      </c>
      <c r="T28" s="142">
        <v>-0.15</v>
      </c>
      <c r="U28" s="142">
        <v>0.46</v>
      </c>
      <c r="V28" s="142">
        <v>1.47</v>
      </c>
      <c r="W28" s="142">
        <v>-0.02</v>
      </c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120"/>
      <c r="BC28" s="25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</row>
    <row r="29" spans="1:200" ht="15" customHeight="1" x14ac:dyDescent="0.2">
      <c r="A29" s="2"/>
      <c r="B29" s="24" t="str">
        <f t="shared" si="0"/>
        <v>[ROW:OCT_2017]</v>
      </c>
      <c r="C29" s="29">
        <f>IF(OR(Client_Info!$D$14="",Client_Info!$D$15=""),"",IF(EOMONTH(Client_Info!$D$14,21)&lt;=Client_Info!$D$15,EOMONTH(Client_Info!$D$14,21),""))</f>
        <v>43039</v>
      </c>
      <c r="D29" s="142">
        <v>0.28000000000000003</v>
      </c>
      <c r="E29" s="142">
        <v>0.16</v>
      </c>
      <c r="F29" s="142">
        <v>-0.05</v>
      </c>
      <c r="G29" s="142">
        <v>-7.0000000000000007E-2</v>
      </c>
      <c r="H29" s="142">
        <v>-0.79</v>
      </c>
      <c r="I29" s="142">
        <v>-0.63</v>
      </c>
      <c r="J29" s="142">
        <v>1.78</v>
      </c>
      <c r="K29" s="142">
        <v>2.63</v>
      </c>
      <c r="L29" s="142">
        <v>2.57</v>
      </c>
      <c r="M29" s="142">
        <v>-7.65</v>
      </c>
      <c r="N29" s="142">
        <v>-8.5299999999999994</v>
      </c>
      <c r="O29" s="142">
        <v>-3.5</v>
      </c>
      <c r="P29" s="142">
        <v>1.82</v>
      </c>
      <c r="Q29" s="142">
        <v>-3.88</v>
      </c>
      <c r="R29" s="142">
        <v>0.21</v>
      </c>
      <c r="S29" s="142">
        <v>0.87</v>
      </c>
      <c r="T29" s="142">
        <v>-0.34</v>
      </c>
      <c r="U29" s="142">
        <v>0.47</v>
      </c>
      <c r="V29" s="142">
        <v>1.79</v>
      </c>
      <c r="W29" s="142">
        <v>0</v>
      </c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120"/>
      <c r="BC29" s="25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</row>
    <row r="30" spans="1:200" ht="15" customHeight="1" x14ac:dyDescent="0.2">
      <c r="A30" s="2"/>
      <c r="B30" s="24" t="str">
        <f t="shared" si="0"/>
        <v>[ROW:NOV_2017]</v>
      </c>
      <c r="C30" s="29">
        <f>IF(OR(Client_Info!$D$14="",Client_Info!$D$15=""),"",IF(EOMONTH(Client_Info!$D$14,22)&lt;=Client_Info!$D$15,EOMONTH(Client_Info!$D$14,22),""))</f>
        <v>43069</v>
      </c>
      <c r="D30" s="142">
        <v>1.2</v>
      </c>
      <c r="E30" s="142">
        <v>1.1299999999999999</v>
      </c>
      <c r="F30" s="142">
        <v>1.98</v>
      </c>
      <c r="G30" s="142">
        <v>-12.72</v>
      </c>
      <c r="H30" s="142">
        <v>-13.03</v>
      </c>
      <c r="I30" s="142">
        <v>-10.58</v>
      </c>
      <c r="J30" s="142">
        <v>8.3800000000000008</v>
      </c>
      <c r="K30" s="142">
        <v>9.57</v>
      </c>
      <c r="L30" s="142">
        <v>6.24</v>
      </c>
      <c r="M30" s="142">
        <v>-4.03</v>
      </c>
      <c r="N30" s="142">
        <v>-4.3099999999999996</v>
      </c>
      <c r="O30" s="142">
        <v>2.38</v>
      </c>
      <c r="P30" s="142">
        <v>-0.53</v>
      </c>
      <c r="Q30" s="142">
        <v>5.94</v>
      </c>
      <c r="R30" s="142">
        <v>1.75</v>
      </c>
      <c r="S30" s="142">
        <v>-1.2</v>
      </c>
      <c r="T30" s="142">
        <v>0.66</v>
      </c>
      <c r="U30" s="142">
        <v>0.98</v>
      </c>
      <c r="V30" s="142">
        <v>2.83</v>
      </c>
      <c r="W30" s="142">
        <v>0.06</v>
      </c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120"/>
      <c r="BC30" s="25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</row>
    <row r="31" spans="1:200" ht="15" customHeight="1" x14ac:dyDescent="0.2">
      <c r="A31" s="2"/>
      <c r="B31" s="24" t="str">
        <f t="shared" si="0"/>
        <v>[ROW:DEC_2017]</v>
      </c>
      <c r="C31" s="29">
        <f>IF(OR(Client_Info!$D$14="",Client_Info!$D$15=""),"",IF(EOMONTH(Client_Info!$D$14,23)&lt;=Client_Info!$D$15,EOMONTH(Client_Info!$D$14,23),""))</f>
        <v>43100</v>
      </c>
      <c r="D31" s="142">
        <v>-5.75</v>
      </c>
      <c r="E31" s="142">
        <v>-5.33</v>
      </c>
      <c r="F31" s="142">
        <v>-5.19</v>
      </c>
      <c r="G31" s="142">
        <v>-1.97</v>
      </c>
      <c r="H31" s="142">
        <v>-3.43</v>
      </c>
      <c r="I31" s="142">
        <v>-2</v>
      </c>
      <c r="J31" s="142">
        <v>8.74</v>
      </c>
      <c r="K31" s="142">
        <v>7.86</v>
      </c>
      <c r="L31" s="142">
        <v>7.09</v>
      </c>
      <c r="M31" s="142">
        <v>2.5</v>
      </c>
      <c r="N31" s="142">
        <v>5.04</v>
      </c>
      <c r="O31" s="142">
        <v>2.09</v>
      </c>
      <c r="P31" s="142">
        <v>1.36</v>
      </c>
      <c r="Q31" s="142">
        <v>2.21</v>
      </c>
      <c r="R31" s="142">
        <v>1.37</v>
      </c>
      <c r="S31" s="142">
        <v>2.23</v>
      </c>
      <c r="T31" s="142">
        <v>-0.21</v>
      </c>
      <c r="U31" s="142">
        <v>1.44</v>
      </c>
      <c r="V31" s="142">
        <v>0.91</v>
      </c>
      <c r="W31" s="142">
        <v>0.05</v>
      </c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120"/>
      <c r="BC31" s="25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</row>
    <row r="32" spans="1:200" ht="15" customHeight="1" x14ac:dyDescent="0.2">
      <c r="A32" s="2"/>
      <c r="B32" s="24" t="str">
        <f t="shared" si="0"/>
        <v>[ROW:JAN_2018]</v>
      </c>
      <c r="C32" s="29">
        <f>IF(OR(Client_Info!$D$14="",Client_Info!$D$15=""),"",IF(EOMONTH(Client_Info!$D$14,24)&lt;=Client_Info!$D$15,EOMONTH(Client_Info!$D$14,24),""))</f>
        <v>43131</v>
      </c>
      <c r="D32" s="142">
        <v>-1</v>
      </c>
      <c r="E32" s="142">
        <v>-0.66</v>
      </c>
      <c r="F32" s="142">
        <v>-0.85</v>
      </c>
      <c r="G32" s="142">
        <v>-2.99</v>
      </c>
      <c r="H32" s="142">
        <v>1.45</v>
      </c>
      <c r="I32" s="142">
        <v>-5.36</v>
      </c>
      <c r="J32" s="142">
        <v>10.96</v>
      </c>
      <c r="K32" s="142">
        <v>7.39</v>
      </c>
      <c r="L32" s="142">
        <v>5.69</v>
      </c>
      <c r="M32" s="142">
        <v>-1.71</v>
      </c>
      <c r="N32" s="142">
        <v>-4.3099999999999996</v>
      </c>
      <c r="O32" s="142">
        <v>0.5</v>
      </c>
      <c r="P32" s="142">
        <v>-0.14000000000000001</v>
      </c>
      <c r="Q32" s="142">
        <v>5.22</v>
      </c>
      <c r="R32" s="142">
        <v>-0.46</v>
      </c>
      <c r="S32" s="142">
        <v>4.0199999999999996</v>
      </c>
      <c r="T32" s="142">
        <v>-0.91</v>
      </c>
      <c r="U32" s="142">
        <v>0.56000000000000005</v>
      </c>
      <c r="V32" s="142">
        <v>0.89</v>
      </c>
      <c r="W32" s="142">
        <v>0.08</v>
      </c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120"/>
      <c r="BC32" s="25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</row>
    <row r="33" spans="1:200" ht="15" customHeight="1" x14ac:dyDescent="0.2">
      <c r="A33" s="2"/>
      <c r="B33" s="24" t="str">
        <f t="shared" si="0"/>
        <v>[ROW:FEB_2018]</v>
      </c>
      <c r="C33" s="29">
        <f>IF(OR(Client_Info!$D$14="",Client_Info!$D$15=""),"",IF(EOMONTH(Client_Info!$D$14,25)&lt;=Client_Info!$D$15,EOMONTH(Client_Info!$D$14,25),""))</f>
        <v>43159</v>
      </c>
      <c r="D33" s="142">
        <v>2.16</v>
      </c>
      <c r="E33" s="142">
        <v>1.48</v>
      </c>
      <c r="F33" s="142">
        <v>0.76</v>
      </c>
      <c r="G33" s="142">
        <v>-2.69</v>
      </c>
      <c r="H33" s="142">
        <v>-1.44</v>
      </c>
      <c r="I33" s="142">
        <v>2.3199999999999998</v>
      </c>
      <c r="J33" s="142">
        <v>1.4</v>
      </c>
      <c r="K33" s="142">
        <v>-1.37</v>
      </c>
      <c r="L33" s="142">
        <v>-0.15</v>
      </c>
      <c r="M33" s="142">
        <v>1.88</v>
      </c>
      <c r="N33" s="142">
        <v>-2.13</v>
      </c>
      <c r="O33" s="142">
        <v>0.8</v>
      </c>
      <c r="P33" s="142">
        <v>1.87</v>
      </c>
      <c r="Q33" s="142">
        <v>-2.63</v>
      </c>
      <c r="R33" s="142">
        <v>-1.62</v>
      </c>
      <c r="S33" s="142">
        <v>-2.78</v>
      </c>
      <c r="T33" s="142">
        <v>1.1499999999999999</v>
      </c>
      <c r="U33" s="142">
        <v>-0.34</v>
      </c>
      <c r="V33" s="142">
        <v>-1.21</v>
      </c>
      <c r="W33" s="142">
        <v>0.1</v>
      </c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120"/>
      <c r="BC33" s="25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</row>
    <row r="34" spans="1:200" ht="15" customHeight="1" x14ac:dyDescent="0.2">
      <c r="A34" s="2"/>
      <c r="B34" s="24" t="str">
        <f t="shared" si="0"/>
        <v>[ROW:MAR_2018]</v>
      </c>
      <c r="C34" s="29">
        <f>IF(OR(Client_Info!$D$14="",Client_Info!$D$15=""),"",IF(EOMONTH(Client_Info!$D$14,26)&lt;=Client_Info!$D$15,EOMONTH(Client_Info!$D$14,26),""))</f>
        <v>43190</v>
      </c>
      <c r="D34" s="142">
        <v>-5.08</v>
      </c>
      <c r="E34" s="142">
        <v>-3.95</v>
      </c>
      <c r="F34" s="142">
        <v>-7.38</v>
      </c>
      <c r="G34" s="142">
        <v>5.54</v>
      </c>
      <c r="H34" s="142">
        <v>7.67</v>
      </c>
      <c r="I34" s="142">
        <v>3.39</v>
      </c>
      <c r="J34" s="142">
        <v>-4.57</v>
      </c>
      <c r="K34" s="142">
        <v>-1</v>
      </c>
      <c r="L34" s="142">
        <v>-3.82</v>
      </c>
      <c r="M34" s="142">
        <v>-0.79</v>
      </c>
      <c r="N34" s="142">
        <v>0.56999999999999995</v>
      </c>
      <c r="O34" s="142">
        <v>0.22</v>
      </c>
      <c r="P34" s="142">
        <v>1.92</v>
      </c>
      <c r="Q34" s="142">
        <v>0.75</v>
      </c>
      <c r="R34" s="142">
        <v>1.1299999999999999</v>
      </c>
      <c r="S34" s="142">
        <v>-4.1900000000000004</v>
      </c>
      <c r="T34" s="142">
        <v>0.67</v>
      </c>
      <c r="U34" s="142">
        <v>1.1599999999999999</v>
      </c>
      <c r="V34" s="142">
        <v>1.37</v>
      </c>
      <c r="W34" s="142">
        <v>0.09</v>
      </c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120"/>
      <c r="BC34" s="25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</row>
    <row r="35" spans="1:200" ht="15" customHeight="1" x14ac:dyDescent="0.2">
      <c r="A35" s="2"/>
      <c r="B35" s="24" t="str">
        <f t="shared" si="0"/>
        <v>[ROW:APR_2018]</v>
      </c>
      <c r="C35" s="29">
        <f>IF(OR(Client_Info!$D$14="",Client_Info!$D$15=""),"",IF(EOMONTH(Client_Info!$D$14,27)&lt;=Client_Info!$D$15,EOMONTH(Client_Info!$D$14,27),""))</f>
        <v>43220</v>
      </c>
      <c r="D35" s="142">
        <v>4.42</v>
      </c>
      <c r="E35" s="142">
        <v>2.29</v>
      </c>
      <c r="F35" s="142">
        <v>2.56</v>
      </c>
      <c r="G35" s="142">
        <v>-5.5</v>
      </c>
      <c r="H35" s="142">
        <v>-5.51</v>
      </c>
      <c r="I35" s="142">
        <v>10.45</v>
      </c>
      <c r="J35" s="142">
        <v>-1.1299999999999999</v>
      </c>
      <c r="K35" s="142">
        <v>-1.97</v>
      </c>
      <c r="L35" s="142">
        <v>-2.85</v>
      </c>
      <c r="M35" s="142">
        <v>-5.0999999999999996</v>
      </c>
      <c r="N35" s="142">
        <v>-0.78</v>
      </c>
      <c r="O35" s="142">
        <v>0.27</v>
      </c>
      <c r="P35" s="142">
        <v>1.77</v>
      </c>
      <c r="Q35" s="142">
        <v>-1.55</v>
      </c>
      <c r="R35" s="142">
        <v>0.24</v>
      </c>
      <c r="S35" s="142">
        <v>2.69</v>
      </c>
      <c r="T35" s="142">
        <v>1.24</v>
      </c>
      <c r="U35" s="142">
        <v>3.16</v>
      </c>
      <c r="V35" s="142">
        <v>2.15</v>
      </c>
      <c r="W35" s="142">
        <v>0.15</v>
      </c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120"/>
      <c r="BC35" s="25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</row>
    <row r="36" spans="1:200" ht="15" customHeight="1" x14ac:dyDescent="0.2">
      <c r="A36" s="2"/>
      <c r="B36" s="24" t="str">
        <f t="shared" si="0"/>
        <v>[ROW:MAY_2018]</v>
      </c>
      <c r="C36" s="29">
        <f>IF(OR(Client_Info!$D$14="",Client_Info!$D$15=""),"",IF(EOMONTH(Client_Info!$D$14,28)&lt;=Client_Info!$D$15,EOMONTH(Client_Info!$D$14,28),""))</f>
        <v>43251</v>
      </c>
      <c r="D36" s="142">
        <v>-1.55</v>
      </c>
      <c r="E36" s="142">
        <v>-0.39</v>
      </c>
      <c r="F36" s="142">
        <v>0.57999999999999996</v>
      </c>
      <c r="G36" s="142">
        <v>-1.69</v>
      </c>
      <c r="H36" s="142">
        <v>-0.78</v>
      </c>
      <c r="I36" s="142">
        <v>7.35</v>
      </c>
      <c r="J36" s="142">
        <v>4.43</v>
      </c>
      <c r="K36" s="142">
        <v>3.42</v>
      </c>
      <c r="L36" s="142">
        <v>1.66</v>
      </c>
      <c r="M36" s="142">
        <v>-4.79</v>
      </c>
      <c r="N36" s="142">
        <v>-5.76</v>
      </c>
      <c r="O36" s="142">
        <v>1.34</v>
      </c>
      <c r="P36" s="142">
        <v>2.35</v>
      </c>
      <c r="Q36" s="142">
        <v>0.8</v>
      </c>
      <c r="R36" s="142">
        <v>2.97</v>
      </c>
      <c r="S36" s="142">
        <v>-3.3</v>
      </c>
      <c r="T36" s="142">
        <v>0.48</v>
      </c>
      <c r="U36" s="142">
        <v>0.16</v>
      </c>
      <c r="V36" s="142">
        <v>1.23</v>
      </c>
      <c r="W36" s="142">
        <v>0.11</v>
      </c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120"/>
      <c r="BC36" s="25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</row>
    <row r="37" spans="1:200" ht="15" customHeight="1" x14ac:dyDescent="0.2">
      <c r="A37" s="2"/>
      <c r="B37" s="24" t="str">
        <f t="shared" si="0"/>
        <v>[ROW:JUN_2018]</v>
      </c>
      <c r="C37" s="29">
        <f>IF(OR(Client_Info!$D$14="",Client_Info!$D$15=""),"",IF(EOMONTH(Client_Info!$D$14,29)&lt;=Client_Info!$D$15,EOMONTH(Client_Info!$D$14,29),""))</f>
        <v>43281</v>
      </c>
      <c r="D37" s="142">
        <v>-7.0000000000000007E-2</v>
      </c>
      <c r="E37" s="142">
        <v>-0.14000000000000001</v>
      </c>
      <c r="F37" s="142">
        <v>1.2</v>
      </c>
      <c r="G37" s="142">
        <v>1.79</v>
      </c>
      <c r="H37" s="142">
        <v>1.88</v>
      </c>
      <c r="I37" s="142">
        <v>-2.69</v>
      </c>
      <c r="J37" s="142">
        <v>6</v>
      </c>
      <c r="K37" s="142">
        <v>3.24</v>
      </c>
      <c r="L37" s="142">
        <v>2.66</v>
      </c>
      <c r="M37" s="142">
        <v>-2.1</v>
      </c>
      <c r="N37" s="142">
        <v>-6.11</v>
      </c>
      <c r="O37" s="142">
        <v>1.99</v>
      </c>
      <c r="P37" s="142">
        <v>1.99</v>
      </c>
      <c r="Q37" s="142">
        <v>5.41</v>
      </c>
      <c r="R37" s="142">
        <v>3.64</v>
      </c>
      <c r="S37" s="142">
        <v>-0.6</v>
      </c>
      <c r="T37" s="142">
        <v>-0.14000000000000001</v>
      </c>
      <c r="U37" s="142">
        <v>-0.44</v>
      </c>
      <c r="V37" s="142">
        <v>-1.3</v>
      </c>
      <c r="W37" s="142">
        <v>0.13</v>
      </c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120"/>
      <c r="BC37" s="25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</row>
    <row r="38" spans="1:200" ht="15" customHeight="1" x14ac:dyDescent="0.2">
      <c r="A38" s="2"/>
      <c r="B38" s="24" t="str">
        <f t="shared" si="0"/>
        <v>[ROW:JUL_2018]</v>
      </c>
      <c r="C38" s="29">
        <f>IF(OR(Client_Info!$D$14="",Client_Info!$D$15=""),"",IF(EOMONTH(Client_Info!$D$14,30)&lt;=Client_Info!$D$15,EOMONTH(Client_Info!$D$14,30),""))</f>
        <v>43312</v>
      </c>
      <c r="D38" s="142">
        <v>-0.62</v>
      </c>
      <c r="E38" s="142">
        <v>-2.98</v>
      </c>
      <c r="F38" s="142">
        <v>-0.09</v>
      </c>
      <c r="G38" s="142">
        <v>4.5599999999999996</v>
      </c>
      <c r="H38" s="142">
        <v>5.96</v>
      </c>
      <c r="I38" s="142">
        <v>-3.06</v>
      </c>
      <c r="J38" s="142">
        <v>-2.92</v>
      </c>
      <c r="K38" s="142">
        <v>-1.22</v>
      </c>
      <c r="L38" s="142">
        <v>0.94</v>
      </c>
      <c r="M38" s="142">
        <v>-6.98</v>
      </c>
      <c r="N38" s="142">
        <v>-14.56</v>
      </c>
      <c r="O38" s="142">
        <v>1.48</v>
      </c>
      <c r="P38" s="142">
        <v>-0.66</v>
      </c>
      <c r="Q38" s="142">
        <v>-2.42</v>
      </c>
      <c r="R38" s="142">
        <v>1.38</v>
      </c>
      <c r="S38" s="142">
        <v>-0.54</v>
      </c>
      <c r="T38" s="142">
        <v>1.5</v>
      </c>
      <c r="U38" s="142">
        <v>0.93</v>
      </c>
      <c r="V38" s="142">
        <v>0.57999999999999996</v>
      </c>
      <c r="W38" s="142">
        <v>0.16</v>
      </c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120"/>
      <c r="BC38" s="25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</row>
    <row r="39" spans="1:200" ht="15" customHeight="1" x14ac:dyDescent="0.2">
      <c r="A39" s="2"/>
      <c r="B39" s="24" t="str">
        <f t="shared" si="0"/>
        <v>[ROW:AUG_2018]</v>
      </c>
      <c r="C39" s="29">
        <f>IF(OR(Client_Info!$D$14="",Client_Info!$D$15=""),"",IF(EOMONTH(Client_Info!$D$14,31)&lt;=Client_Info!$D$15,EOMONTH(Client_Info!$D$14,31),""))</f>
        <v>43343</v>
      </c>
      <c r="D39" s="142">
        <v>9.4600000000000009</v>
      </c>
      <c r="E39" s="142">
        <v>10.3</v>
      </c>
      <c r="F39" s="142">
        <v>10.93</v>
      </c>
      <c r="G39" s="142">
        <v>-4.6900000000000004</v>
      </c>
      <c r="H39" s="142">
        <v>-3.53</v>
      </c>
      <c r="I39" s="142">
        <v>1.88</v>
      </c>
      <c r="J39" s="142">
        <v>7.0000000000000007E-2</v>
      </c>
      <c r="K39" s="142">
        <v>4.13</v>
      </c>
      <c r="L39" s="142">
        <v>2.12</v>
      </c>
      <c r="M39" s="142">
        <v>-4.9400000000000004</v>
      </c>
      <c r="N39" s="142">
        <v>-8.76</v>
      </c>
      <c r="O39" s="142">
        <v>-0.64</v>
      </c>
      <c r="P39" s="142">
        <v>-2.8</v>
      </c>
      <c r="Q39" s="142">
        <v>-0.14000000000000001</v>
      </c>
      <c r="R39" s="142">
        <v>-3.05</v>
      </c>
      <c r="S39" s="142">
        <v>-2.88</v>
      </c>
      <c r="T39" s="142">
        <v>0.21</v>
      </c>
      <c r="U39" s="142">
        <v>0.18</v>
      </c>
      <c r="V39" s="142">
        <v>-0.14000000000000001</v>
      </c>
      <c r="W39" s="142">
        <v>0.11</v>
      </c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120"/>
      <c r="BC39" s="25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</row>
    <row r="40" spans="1:200" ht="15" customHeight="1" x14ac:dyDescent="0.2">
      <c r="A40" s="2"/>
      <c r="B40" s="24" t="str">
        <f t="shared" ref="B40:B71" si="1">IF(C40="","","[ROW:"&amp;UPPER(TEXT(C40,"MMM"))&amp;"_"&amp;TEXT(C40,"YYYY")&amp;"]")</f>
        <v>[ROW:SEP_2018]</v>
      </c>
      <c r="C40" s="29">
        <f>IF(OR(Client_Info!$D$14="",Client_Info!$D$15=""),"",IF(EOMONTH(Client_Info!$D$14,32)&lt;=Client_Info!$D$15,EOMONTH(Client_Info!$D$14,32),""))</f>
        <v>43373</v>
      </c>
      <c r="D40" s="142">
        <v>2.21</v>
      </c>
      <c r="E40" s="142">
        <v>0.04</v>
      </c>
      <c r="F40" s="142">
        <v>1.19</v>
      </c>
      <c r="G40" s="142">
        <v>7.62</v>
      </c>
      <c r="H40" s="142">
        <v>5.39</v>
      </c>
      <c r="I40" s="142">
        <v>-6.1</v>
      </c>
      <c r="J40" s="142">
        <v>5.47</v>
      </c>
      <c r="K40" s="142">
        <v>2.57</v>
      </c>
      <c r="L40" s="142">
        <v>1.31</v>
      </c>
      <c r="M40" s="142">
        <v>-4.62</v>
      </c>
      <c r="N40" s="142">
        <v>-1.44</v>
      </c>
      <c r="O40" s="142">
        <v>-4.24</v>
      </c>
      <c r="P40" s="142">
        <v>-0.53</v>
      </c>
      <c r="Q40" s="142">
        <v>2.63</v>
      </c>
      <c r="R40" s="142">
        <v>2.9</v>
      </c>
      <c r="S40" s="142">
        <v>0.97</v>
      </c>
      <c r="T40" s="142">
        <v>1.56</v>
      </c>
      <c r="U40" s="142">
        <v>-2.73</v>
      </c>
      <c r="V40" s="142">
        <v>-3.37</v>
      </c>
      <c r="W40" s="142">
        <v>0.19</v>
      </c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120"/>
      <c r="BC40" s="25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</row>
    <row r="41" spans="1:200" ht="15" customHeight="1" x14ac:dyDescent="0.2">
      <c r="A41" s="2"/>
      <c r="B41" s="24" t="str">
        <f t="shared" si="1"/>
        <v>[ROW:OCT_2018]</v>
      </c>
      <c r="C41" s="29">
        <f>IF(OR(Client_Info!$D$14="",Client_Info!$D$15=""),"",IF(EOMONTH(Client_Info!$D$14,33)&lt;=Client_Info!$D$15,EOMONTH(Client_Info!$D$14,33),""))</f>
        <v>43404</v>
      </c>
      <c r="D41" s="142">
        <v>-6.5</v>
      </c>
      <c r="E41" s="142">
        <v>-7.41</v>
      </c>
      <c r="F41" s="142">
        <v>-6.59</v>
      </c>
      <c r="G41" s="142">
        <v>-0.95</v>
      </c>
      <c r="H41" s="142">
        <v>1</v>
      </c>
      <c r="I41" s="142">
        <v>10.06</v>
      </c>
      <c r="J41" s="142">
        <v>-0.59</v>
      </c>
      <c r="K41" s="142">
        <v>-2.09</v>
      </c>
      <c r="L41" s="142">
        <v>-3.22</v>
      </c>
      <c r="M41" s="142">
        <v>5.34</v>
      </c>
      <c r="N41" s="142">
        <v>-0.75</v>
      </c>
      <c r="O41" s="142">
        <v>-0.56999999999999995</v>
      </c>
      <c r="P41" s="142">
        <v>-1.81</v>
      </c>
      <c r="Q41" s="142">
        <v>1.76</v>
      </c>
      <c r="R41" s="142">
        <v>2.5299999999999998</v>
      </c>
      <c r="S41" s="142">
        <v>2.41</v>
      </c>
      <c r="T41" s="142">
        <v>0.25</v>
      </c>
      <c r="U41" s="142">
        <v>0.59</v>
      </c>
      <c r="V41" s="142">
        <v>1.69</v>
      </c>
      <c r="W41" s="142">
        <v>0.11</v>
      </c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120"/>
      <c r="BC41" s="25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</row>
    <row r="42" spans="1:200" ht="15" customHeight="1" x14ac:dyDescent="0.2">
      <c r="A42" s="2"/>
      <c r="B42" s="24" t="str">
        <f t="shared" si="1"/>
        <v>[ROW:NOV_2018]</v>
      </c>
      <c r="C42" s="29">
        <f>IF(OR(Client_Info!$D$14="",Client_Info!$D$15=""),"",IF(EOMONTH(Client_Info!$D$14,34)&lt;=Client_Info!$D$15,EOMONTH(Client_Info!$D$14,34),""))</f>
        <v>43434</v>
      </c>
      <c r="D42" s="142">
        <v>-2.54</v>
      </c>
      <c r="E42" s="142">
        <v>-2.34</v>
      </c>
      <c r="F42" s="142">
        <v>-2.77</v>
      </c>
      <c r="G42" s="142">
        <v>-3.16</v>
      </c>
      <c r="H42" s="142">
        <v>-2.84</v>
      </c>
      <c r="I42" s="142">
        <v>7.25</v>
      </c>
      <c r="J42" s="142">
        <v>-5.5</v>
      </c>
      <c r="K42" s="142">
        <v>-5.49</v>
      </c>
      <c r="L42" s="142">
        <v>-4.1399999999999997</v>
      </c>
      <c r="M42" s="142">
        <v>4.63</v>
      </c>
      <c r="N42" s="142">
        <v>2.35</v>
      </c>
      <c r="O42" s="142">
        <v>-0.53</v>
      </c>
      <c r="P42" s="142">
        <v>-2.23</v>
      </c>
      <c r="Q42" s="142">
        <v>4.51</v>
      </c>
      <c r="R42" s="142">
        <v>-0.18</v>
      </c>
      <c r="S42" s="142">
        <v>0.11</v>
      </c>
      <c r="T42" s="142">
        <v>-0.88</v>
      </c>
      <c r="U42" s="142">
        <v>-0.69</v>
      </c>
      <c r="V42" s="142">
        <v>-1.54</v>
      </c>
      <c r="W42" s="142">
        <v>0.21</v>
      </c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120"/>
      <c r="BC42" s="25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</row>
    <row r="43" spans="1:200" ht="15" customHeight="1" x14ac:dyDescent="0.2">
      <c r="A43" s="2"/>
      <c r="B43" s="24" t="str">
        <f t="shared" si="1"/>
        <v>[ROW:DEC_2018]</v>
      </c>
      <c r="C43" s="29">
        <f>IF(OR(Client_Info!$D$14="",Client_Info!$D$15=""),"",IF(EOMONTH(Client_Info!$D$14,35)&lt;=Client_Info!$D$15,EOMONTH(Client_Info!$D$14,35),""))</f>
        <v>43465</v>
      </c>
      <c r="D43" s="142">
        <v>-8.42</v>
      </c>
      <c r="E43" s="142">
        <v>-7.94</v>
      </c>
      <c r="F43" s="142">
        <v>-9.33</v>
      </c>
      <c r="G43" s="142">
        <v>1.69</v>
      </c>
      <c r="H43" s="142">
        <v>2.75</v>
      </c>
      <c r="I43" s="142">
        <v>-2.1800000000000002</v>
      </c>
      <c r="J43" s="142">
        <v>-2.56</v>
      </c>
      <c r="K43" s="142">
        <v>-6.36</v>
      </c>
      <c r="L43" s="142">
        <v>-5.28</v>
      </c>
      <c r="M43" s="142">
        <v>16.37</v>
      </c>
      <c r="N43" s="142">
        <v>12.08</v>
      </c>
      <c r="O43" s="142">
        <v>0.9</v>
      </c>
      <c r="P43" s="142">
        <v>1.66</v>
      </c>
      <c r="Q43" s="142">
        <v>-0.81</v>
      </c>
      <c r="R43" s="142">
        <v>4.1100000000000003</v>
      </c>
      <c r="S43" s="142">
        <v>-2.97</v>
      </c>
      <c r="T43" s="142">
        <v>-0.33</v>
      </c>
      <c r="U43" s="142">
        <v>0.66</v>
      </c>
      <c r="V43" s="142">
        <v>0.19</v>
      </c>
      <c r="W43" s="142">
        <v>0.16</v>
      </c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120"/>
      <c r="BC43" s="25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</row>
    <row r="44" spans="1:200" ht="15" customHeight="1" x14ac:dyDescent="0.2">
      <c r="A44" s="2"/>
      <c r="B44" s="24" t="str">
        <f t="shared" si="1"/>
        <v>[ROW:JAN_2019]</v>
      </c>
      <c r="C44" s="29">
        <f>IF(OR(Client_Info!$D$14="",Client_Info!$D$15=""),"",IF(EOMONTH(Client_Info!$D$14,36)&lt;=Client_Info!$D$15,EOMONTH(Client_Info!$D$14,36),""))</f>
        <v>43496</v>
      </c>
      <c r="D44" s="142">
        <v>0.75</v>
      </c>
      <c r="E44" s="142">
        <v>0.7</v>
      </c>
      <c r="F44" s="142">
        <v>2.92</v>
      </c>
      <c r="G44" s="142">
        <v>1.88</v>
      </c>
      <c r="H44" s="142">
        <v>2.11</v>
      </c>
      <c r="I44" s="142">
        <v>-8.3000000000000007</v>
      </c>
      <c r="J44" s="142">
        <v>-2.87</v>
      </c>
      <c r="K44" s="142">
        <v>2.16</v>
      </c>
      <c r="L44" s="142">
        <v>2.77</v>
      </c>
      <c r="M44" s="142">
        <v>6.53</v>
      </c>
      <c r="N44" s="142">
        <v>5.35</v>
      </c>
      <c r="O44" s="142">
        <v>-1.32</v>
      </c>
      <c r="P44" s="142">
        <v>3.85</v>
      </c>
      <c r="Q44" s="142">
        <v>7.18</v>
      </c>
      <c r="R44" s="142">
        <v>2.34</v>
      </c>
      <c r="S44" s="142">
        <v>-0.72</v>
      </c>
      <c r="T44" s="142">
        <v>0.56999999999999995</v>
      </c>
      <c r="U44" s="142">
        <v>1.04</v>
      </c>
      <c r="V44" s="142">
        <v>-0.54</v>
      </c>
      <c r="W44" s="142">
        <v>0.16</v>
      </c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120"/>
      <c r="BC44" s="25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</row>
    <row r="45" spans="1:200" ht="15" customHeight="1" x14ac:dyDescent="0.2">
      <c r="A45" s="2"/>
      <c r="B45" s="24" t="str">
        <f t="shared" si="1"/>
        <v>[ROW:FEB_2019]</v>
      </c>
      <c r="C45" s="29">
        <f>IF(OR(Client_Info!$D$14="",Client_Info!$D$15=""),"",IF(EOMONTH(Client_Info!$D$14,37)&lt;=Client_Info!$D$15,EOMONTH(Client_Info!$D$14,37),""))</f>
        <v>43524</v>
      </c>
      <c r="D45" s="142">
        <v>-7.19</v>
      </c>
      <c r="E45" s="142">
        <v>-4.54</v>
      </c>
      <c r="F45" s="142">
        <v>-5.62</v>
      </c>
      <c r="G45" s="142">
        <v>-1.82</v>
      </c>
      <c r="H45" s="142">
        <v>-2.59</v>
      </c>
      <c r="I45" s="142">
        <v>9.02</v>
      </c>
      <c r="J45" s="142">
        <v>0.98</v>
      </c>
      <c r="K45" s="142">
        <v>-1.33</v>
      </c>
      <c r="L45" s="142">
        <v>-2.72</v>
      </c>
      <c r="M45" s="142">
        <v>3.75</v>
      </c>
      <c r="N45" s="142">
        <v>1.91</v>
      </c>
      <c r="O45" s="142">
        <v>1.0900000000000001</v>
      </c>
      <c r="P45" s="142">
        <v>2.4500000000000002</v>
      </c>
      <c r="Q45" s="142">
        <v>3.2</v>
      </c>
      <c r="R45" s="142">
        <v>0.24</v>
      </c>
      <c r="S45" s="142">
        <v>1.45</v>
      </c>
      <c r="T45" s="142">
        <v>2.88</v>
      </c>
      <c r="U45" s="142">
        <v>0.57999999999999996</v>
      </c>
      <c r="V45" s="142">
        <v>0.31</v>
      </c>
      <c r="W45" s="142">
        <v>0.11</v>
      </c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120"/>
      <c r="BC45" s="25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</row>
    <row r="46" spans="1:200" ht="15" customHeight="1" x14ac:dyDescent="0.2">
      <c r="A46" s="2"/>
      <c r="B46" s="24" t="str">
        <f t="shared" si="1"/>
        <v>[ROW:MAR_2019]</v>
      </c>
      <c r="C46" s="29">
        <f>IF(OR(Client_Info!$D$14="",Client_Info!$D$15=""),"",IF(EOMONTH(Client_Info!$D$14,38)&lt;=Client_Info!$D$15,EOMONTH(Client_Info!$D$14,38),""))</f>
        <v>43555</v>
      </c>
      <c r="D46" s="142">
        <v>-4.62</v>
      </c>
      <c r="E46" s="142">
        <v>-4.1100000000000003</v>
      </c>
      <c r="F46" s="142">
        <v>-4.83</v>
      </c>
      <c r="G46" s="142">
        <v>0.12</v>
      </c>
      <c r="H46" s="142">
        <v>0.18</v>
      </c>
      <c r="I46" s="142">
        <v>-0.43</v>
      </c>
      <c r="J46" s="142">
        <v>-3.16</v>
      </c>
      <c r="K46" s="142">
        <v>-3.63</v>
      </c>
      <c r="L46" s="142">
        <v>-4.53</v>
      </c>
      <c r="M46" s="142">
        <v>-0.28000000000000003</v>
      </c>
      <c r="N46" s="142">
        <v>-4.4000000000000004</v>
      </c>
      <c r="O46" s="142">
        <v>2.2200000000000002</v>
      </c>
      <c r="P46" s="142">
        <v>2.16</v>
      </c>
      <c r="Q46" s="142">
        <v>5.15</v>
      </c>
      <c r="R46" s="142">
        <v>3.42</v>
      </c>
      <c r="S46" s="142">
        <v>-1.82</v>
      </c>
      <c r="T46" s="142">
        <v>-0.16</v>
      </c>
      <c r="U46" s="142">
        <v>0.41</v>
      </c>
      <c r="V46" s="142">
        <v>2.04</v>
      </c>
      <c r="W46" s="142">
        <v>0.15</v>
      </c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120"/>
      <c r="BC46" s="25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</row>
    <row r="47" spans="1:200" ht="15" customHeight="1" x14ac:dyDescent="0.2">
      <c r="A47" s="2"/>
      <c r="B47" s="24" t="str">
        <f t="shared" si="1"/>
        <v>[ROW:APR_2019]</v>
      </c>
      <c r="C47" s="29">
        <f>IF(OR(Client_Info!$D$14="",Client_Info!$D$15=""),"",IF(EOMONTH(Client_Info!$D$14,39)&lt;=Client_Info!$D$15,EOMONTH(Client_Info!$D$14,39),""))</f>
        <v>43585</v>
      </c>
      <c r="D47" s="142">
        <v>1.78</v>
      </c>
      <c r="E47" s="142">
        <v>2.33</v>
      </c>
      <c r="F47" s="142">
        <v>1.33</v>
      </c>
      <c r="G47" s="142">
        <v>-0.41</v>
      </c>
      <c r="H47" s="142">
        <v>-2.21</v>
      </c>
      <c r="I47" s="142">
        <v>4.9000000000000004</v>
      </c>
      <c r="J47" s="142">
        <v>-2.63</v>
      </c>
      <c r="K47" s="142">
        <v>-4.6500000000000004</v>
      </c>
      <c r="L47" s="142">
        <v>-3.7</v>
      </c>
      <c r="M47" s="142">
        <v>6.17</v>
      </c>
      <c r="N47" s="142">
        <v>1.21</v>
      </c>
      <c r="O47" s="142">
        <v>2.44</v>
      </c>
      <c r="P47" s="142">
        <v>3.08</v>
      </c>
      <c r="Q47" s="142">
        <v>2.48</v>
      </c>
      <c r="R47" s="142">
        <v>0.2</v>
      </c>
      <c r="S47" s="142">
        <v>1.25</v>
      </c>
      <c r="T47" s="142">
        <v>0.1</v>
      </c>
      <c r="U47" s="142">
        <v>-0.34</v>
      </c>
      <c r="V47" s="142">
        <v>-0.02</v>
      </c>
      <c r="W47" s="142">
        <v>0.13</v>
      </c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120"/>
      <c r="BC47" s="25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</row>
    <row r="48" spans="1:200" ht="15" customHeight="1" x14ac:dyDescent="0.2">
      <c r="A48" s="2"/>
      <c r="B48" s="24" t="str">
        <f t="shared" si="1"/>
        <v>[ROW:MAY_2019]</v>
      </c>
      <c r="C48" s="29">
        <f>IF(OR(Client_Info!$D$14="",Client_Info!$D$15=""),"",IF(EOMONTH(Client_Info!$D$14,40)&lt;=Client_Info!$D$15,EOMONTH(Client_Info!$D$14,40),""))</f>
        <v>43616</v>
      </c>
      <c r="D48" s="142">
        <v>4.22</v>
      </c>
      <c r="E48" s="142">
        <v>3.94</v>
      </c>
      <c r="F48" s="142">
        <v>4.32</v>
      </c>
      <c r="G48" s="142">
        <v>3.13</v>
      </c>
      <c r="H48" s="142">
        <v>1.36</v>
      </c>
      <c r="I48" s="142">
        <v>-4.97</v>
      </c>
      <c r="J48" s="142">
        <v>-0.9</v>
      </c>
      <c r="K48" s="142">
        <v>1.79</v>
      </c>
      <c r="L48" s="142">
        <v>1.1399999999999999</v>
      </c>
      <c r="M48" s="142">
        <v>-1.64</v>
      </c>
      <c r="N48" s="142">
        <v>2.0499999999999998</v>
      </c>
      <c r="O48" s="142">
        <v>2.93</v>
      </c>
      <c r="P48" s="142">
        <v>2.63</v>
      </c>
      <c r="Q48" s="142">
        <v>4.1500000000000004</v>
      </c>
      <c r="R48" s="142">
        <v>0.65</v>
      </c>
      <c r="S48" s="142">
        <v>-0.14000000000000001</v>
      </c>
      <c r="T48" s="142">
        <v>1.74</v>
      </c>
      <c r="U48" s="142">
        <v>0.97</v>
      </c>
      <c r="V48" s="142">
        <v>0.37</v>
      </c>
      <c r="W48" s="142">
        <v>0.13</v>
      </c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120"/>
      <c r="BC48" s="25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</row>
    <row r="49" spans="1:200" ht="15" customHeight="1" x14ac:dyDescent="0.2">
      <c r="A49" s="2"/>
      <c r="B49" s="24" t="str">
        <f t="shared" si="1"/>
        <v>[ROW:JUN_2019]</v>
      </c>
      <c r="C49" s="29">
        <f>IF(OR(Client_Info!$D$14="",Client_Info!$D$15=""),"",IF(EOMONTH(Client_Info!$D$14,41)&lt;=Client_Info!$D$15,EOMONTH(Client_Info!$D$14,41),""))</f>
        <v>43646</v>
      </c>
      <c r="D49" s="142">
        <v>-0.26</v>
      </c>
      <c r="E49" s="142">
        <v>2.31</v>
      </c>
      <c r="F49" s="142">
        <v>2.73</v>
      </c>
      <c r="G49" s="142">
        <v>3.04</v>
      </c>
      <c r="H49" s="142">
        <v>3.92</v>
      </c>
      <c r="I49" s="142">
        <v>-0.33</v>
      </c>
      <c r="J49" s="142">
        <v>5.39</v>
      </c>
      <c r="K49" s="142">
        <v>4.76</v>
      </c>
      <c r="L49" s="142">
        <v>10.6</v>
      </c>
      <c r="M49" s="142">
        <v>6.72</v>
      </c>
      <c r="N49" s="142">
        <v>4.6100000000000003</v>
      </c>
      <c r="O49" s="142">
        <v>0.62</v>
      </c>
      <c r="P49" s="142">
        <v>3.51</v>
      </c>
      <c r="Q49" s="142">
        <v>4.4800000000000004</v>
      </c>
      <c r="R49" s="142">
        <v>-3.37</v>
      </c>
      <c r="S49" s="142">
        <v>1.08</v>
      </c>
      <c r="T49" s="142">
        <v>0.18</v>
      </c>
      <c r="U49" s="142">
        <v>0.03</v>
      </c>
      <c r="V49" s="142">
        <v>-0.04</v>
      </c>
      <c r="W49" s="142">
        <v>0.14000000000000001</v>
      </c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120"/>
      <c r="BC49" s="25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</row>
    <row r="50" spans="1:200" ht="15" customHeight="1" x14ac:dyDescent="0.2">
      <c r="A50" s="2"/>
      <c r="B50" s="24" t="str">
        <f t="shared" si="1"/>
        <v>[ROW:JUL_2019]</v>
      </c>
      <c r="C50" s="29">
        <f>IF(OR(Client_Info!$D$14="",Client_Info!$D$15=""),"",IF(EOMONTH(Client_Info!$D$14,42)&lt;=Client_Info!$D$15,EOMONTH(Client_Info!$D$14,42),""))</f>
        <v>43677</v>
      </c>
      <c r="D50" s="142">
        <v>0.03</v>
      </c>
      <c r="E50" s="142">
        <v>1.38</v>
      </c>
      <c r="F50" s="142">
        <v>-1.46</v>
      </c>
      <c r="G50" s="142">
        <v>7.82</v>
      </c>
      <c r="H50" s="142">
        <v>7.33</v>
      </c>
      <c r="I50" s="142">
        <v>-1.05</v>
      </c>
      <c r="J50" s="142">
        <v>-0.79</v>
      </c>
      <c r="K50" s="142">
        <v>0.3</v>
      </c>
      <c r="L50" s="142">
        <v>1.44</v>
      </c>
      <c r="M50" s="142">
        <v>10.81</v>
      </c>
      <c r="N50" s="142">
        <v>8.84</v>
      </c>
      <c r="O50" s="142">
        <v>-0.39</v>
      </c>
      <c r="P50" s="142">
        <v>0.17</v>
      </c>
      <c r="Q50" s="142">
        <v>2.56</v>
      </c>
      <c r="R50" s="142">
        <v>-1.82</v>
      </c>
      <c r="S50" s="142">
        <v>-0.51</v>
      </c>
      <c r="T50" s="142">
        <v>1.92</v>
      </c>
      <c r="U50" s="142">
        <v>0.3</v>
      </c>
      <c r="V50" s="142">
        <v>1.1399999999999999</v>
      </c>
      <c r="W50" s="142">
        <v>0.17</v>
      </c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120"/>
      <c r="BC50" s="25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</row>
    <row r="51" spans="1:200" ht="15" customHeight="1" x14ac:dyDescent="0.2">
      <c r="A51" s="2"/>
      <c r="B51" s="24" t="str">
        <f t="shared" si="1"/>
        <v>[ROW:AUG_2019]</v>
      </c>
      <c r="C51" s="29">
        <f>IF(OR(Client_Info!$D$14="",Client_Info!$D$15=""),"",IF(EOMONTH(Client_Info!$D$14,43)&lt;=Client_Info!$D$15,EOMONTH(Client_Info!$D$14,43),""))</f>
        <v>43708</v>
      </c>
      <c r="D51" s="142">
        <v>-0.03</v>
      </c>
      <c r="E51" s="142">
        <v>0.09</v>
      </c>
      <c r="F51" s="142">
        <v>-3.49</v>
      </c>
      <c r="G51" s="142">
        <v>-5.91</v>
      </c>
      <c r="H51" s="142">
        <v>-2.85</v>
      </c>
      <c r="I51" s="142">
        <v>2.0299999999999998</v>
      </c>
      <c r="J51" s="142">
        <v>-3</v>
      </c>
      <c r="K51" s="142">
        <v>-2.4300000000000002</v>
      </c>
      <c r="L51" s="142">
        <v>-5.56</v>
      </c>
      <c r="M51" s="142">
        <v>5.74</v>
      </c>
      <c r="N51" s="142">
        <v>6.21</v>
      </c>
      <c r="O51" s="142">
        <v>1.1100000000000001</v>
      </c>
      <c r="P51" s="142">
        <v>1.82</v>
      </c>
      <c r="Q51" s="142">
        <v>-2.06</v>
      </c>
      <c r="R51" s="142">
        <v>1.18</v>
      </c>
      <c r="S51" s="142">
        <v>-0.99</v>
      </c>
      <c r="T51" s="142">
        <v>0.88</v>
      </c>
      <c r="U51" s="142">
        <v>0.57999999999999996</v>
      </c>
      <c r="V51" s="142">
        <v>1.26</v>
      </c>
      <c r="W51" s="142">
        <v>0.15</v>
      </c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120"/>
      <c r="BC51" s="25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</row>
    <row r="52" spans="1:200" ht="15" customHeight="1" x14ac:dyDescent="0.2">
      <c r="A52" s="2"/>
      <c r="B52" s="24" t="str">
        <f t="shared" si="1"/>
        <v>[ROW:SEP_2019]</v>
      </c>
      <c r="C52" s="29">
        <f>IF(OR(Client_Info!$D$14="",Client_Info!$D$15=""),"",IF(EOMONTH(Client_Info!$D$14,44)&lt;=Client_Info!$D$15,EOMONTH(Client_Info!$D$14,44),""))</f>
        <v>43738</v>
      </c>
      <c r="D52" s="142">
        <v>-5.05</v>
      </c>
      <c r="E52" s="142">
        <v>-4.55</v>
      </c>
      <c r="F52" s="142">
        <v>-6.07</v>
      </c>
      <c r="G52" s="142">
        <v>8.1</v>
      </c>
      <c r="H52" s="142">
        <v>9.07</v>
      </c>
      <c r="I52" s="142">
        <v>-2.27</v>
      </c>
      <c r="J52" s="142">
        <v>-3.05</v>
      </c>
      <c r="K52" s="142">
        <v>-1.06</v>
      </c>
      <c r="L52" s="142">
        <v>-1.78</v>
      </c>
      <c r="M52" s="142">
        <v>5.21</v>
      </c>
      <c r="N52" s="142">
        <v>6.92</v>
      </c>
      <c r="O52" s="142">
        <v>0.16</v>
      </c>
      <c r="P52" s="142">
        <v>0.27</v>
      </c>
      <c r="Q52" s="142">
        <v>5.28</v>
      </c>
      <c r="R52" s="142">
        <v>-1.38</v>
      </c>
      <c r="S52" s="142">
        <v>1.25</v>
      </c>
      <c r="T52" s="142">
        <v>1.08</v>
      </c>
      <c r="U52" s="142">
        <v>-0.86</v>
      </c>
      <c r="V52" s="142">
        <v>-1.59</v>
      </c>
      <c r="W52" s="142">
        <v>0.15</v>
      </c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120"/>
      <c r="BC52" s="25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</row>
    <row r="53" spans="1:200" ht="15" customHeight="1" x14ac:dyDescent="0.2">
      <c r="A53" s="2"/>
      <c r="B53" s="24" t="str">
        <f t="shared" si="1"/>
        <v>[ROW:OCT_2019]</v>
      </c>
      <c r="C53" s="29">
        <f>IF(OR(Client_Info!$D$14="",Client_Info!$D$15=""),"",IF(EOMONTH(Client_Info!$D$14,45)&lt;=Client_Info!$D$15,EOMONTH(Client_Info!$D$14,45),""))</f>
        <v>43769</v>
      </c>
      <c r="D53" s="142">
        <v>-3.14</v>
      </c>
      <c r="E53" s="142">
        <v>-1.83</v>
      </c>
      <c r="F53" s="142">
        <v>-3.75</v>
      </c>
      <c r="G53" s="142">
        <v>-6.76</v>
      </c>
      <c r="H53" s="142">
        <v>-6.76</v>
      </c>
      <c r="I53" s="142">
        <v>4.41</v>
      </c>
      <c r="J53" s="142">
        <v>-3.7</v>
      </c>
      <c r="K53" s="142">
        <v>-2.58</v>
      </c>
      <c r="L53" s="142">
        <v>-6.66</v>
      </c>
      <c r="M53" s="142">
        <v>1.05</v>
      </c>
      <c r="N53" s="142">
        <v>-7.28</v>
      </c>
      <c r="O53" s="142">
        <v>0.82</v>
      </c>
      <c r="P53" s="142">
        <v>3.29</v>
      </c>
      <c r="Q53" s="142">
        <v>-6.28</v>
      </c>
      <c r="R53" s="142">
        <v>-3.23</v>
      </c>
      <c r="S53" s="142">
        <v>-1.06</v>
      </c>
      <c r="T53" s="142">
        <v>1.72</v>
      </c>
      <c r="U53" s="142">
        <v>1.74</v>
      </c>
      <c r="V53" s="142">
        <v>1.87</v>
      </c>
      <c r="W53" s="142">
        <v>0.1</v>
      </c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120"/>
      <c r="BC53" s="25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</row>
    <row r="54" spans="1:200" ht="15" customHeight="1" x14ac:dyDescent="0.2">
      <c r="A54" s="2"/>
      <c r="B54" s="24" t="str">
        <f t="shared" si="1"/>
        <v>[ROW:NOV_2019]</v>
      </c>
      <c r="C54" s="29">
        <f>IF(OR(Client_Info!$D$14="",Client_Info!$D$15=""),"",IF(EOMONTH(Client_Info!$D$14,46)&lt;=Client_Info!$D$15,EOMONTH(Client_Info!$D$14,46),""))</f>
        <v>43799</v>
      </c>
      <c r="D54" s="142">
        <v>0.63</v>
      </c>
      <c r="E54" s="142">
        <v>-0.84</v>
      </c>
      <c r="F54" s="142">
        <v>-1.6</v>
      </c>
      <c r="G54" s="142">
        <v>1.68</v>
      </c>
      <c r="H54" s="142">
        <v>-1.26</v>
      </c>
      <c r="I54" s="142">
        <v>-4.33</v>
      </c>
      <c r="J54" s="142">
        <v>-8.26</v>
      </c>
      <c r="K54" s="142">
        <v>-5.9</v>
      </c>
      <c r="L54" s="142">
        <v>-6.78</v>
      </c>
      <c r="M54" s="142">
        <v>2.4700000000000002</v>
      </c>
      <c r="N54" s="142">
        <v>6.32</v>
      </c>
      <c r="O54" s="142">
        <v>0.93</v>
      </c>
      <c r="P54" s="142">
        <v>2.94</v>
      </c>
      <c r="Q54" s="142">
        <v>2.63</v>
      </c>
      <c r="R54" s="142">
        <v>0.36</v>
      </c>
      <c r="S54" s="142">
        <v>0.72</v>
      </c>
      <c r="T54" s="142">
        <v>-1.86</v>
      </c>
      <c r="U54" s="142">
        <v>-1.32</v>
      </c>
      <c r="V54" s="142">
        <v>-1.91</v>
      </c>
      <c r="W54" s="142">
        <v>0.1</v>
      </c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120"/>
      <c r="BC54" s="25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</row>
    <row r="55" spans="1:200" ht="15" customHeight="1" x14ac:dyDescent="0.2">
      <c r="A55" s="2"/>
      <c r="B55" s="24" t="str">
        <f t="shared" si="1"/>
        <v>[ROW:DEC_2019]</v>
      </c>
      <c r="C55" s="29">
        <f>IF(OR(Client_Info!$D$14="",Client_Info!$D$15=""),"",IF(EOMONTH(Client_Info!$D$14,47)&lt;=Client_Info!$D$15,EOMONTH(Client_Info!$D$14,47),""))</f>
        <v>43830</v>
      </c>
      <c r="D55" s="142">
        <v>4.74</v>
      </c>
      <c r="E55" s="142">
        <v>6.1</v>
      </c>
      <c r="F55" s="142">
        <v>5.49</v>
      </c>
      <c r="G55" s="142">
        <v>3.37</v>
      </c>
      <c r="H55" s="142">
        <v>2.44</v>
      </c>
      <c r="I55" s="142">
        <v>-0.28999999999999998</v>
      </c>
      <c r="J55" s="142">
        <v>-1.24</v>
      </c>
      <c r="K55" s="142">
        <v>-4.63</v>
      </c>
      <c r="L55" s="142">
        <v>-4.13</v>
      </c>
      <c r="M55" s="142">
        <v>8.11</v>
      </c>
      <c r="N55" s="142">
        <v>5.83</v>
      </c>
      <c r="O55" s="142">
        <v>0.48</v>
      </c>
      <c r="P55" s="142">
        <v>3.11</v>
      </c>
      <c r="Q55" s="142">
        <v>-0.77</v>
      </c>
      <c r="R55" s="142">
        <v>2.23</v>
      </c>
      <c r="S55" s="142">
        <v>-0.64</v>
      </c>
      <c r="T55" s="142">
        <v>-0.28000000000000003</v>
      </c>
      <c r="U55" s="142">
        <v>1.1100000000000001</v>
      </c>
      <c r="V55" s="142">
        <v>0.84</v>
      </c>
      <c r="W55" s="142">
        <v>0.18</v>
      </c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120"/>
      <c r="BC55" s="25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</row>
    <row r="56" spans="1:200" ht="15" customHeight="1" x14ac:dyDescent="0.2">
      <c r="A56" s="2"/>
      <c r="B56" s="24" t="str">
        <f t="shared" si="1"/>
        <v>[ROW:JAN_2020]</v>
      </c>
      <c r="C56" s="29">
        <f>IF(OR(Client_Info!$D$14="",Client_Info!$D$15=""),"",IF(EOMONTH(Client_Info!$D$14,48)&lt;=Client_Info!$D$15,EOMONTH(Client_Info!$D$14,48),""))</f>
        <v>43861</v>
      </c>
      <c r="D56" s="142">
        <v>3.77</v>
      </c>
      <c r="E56" s="142">
        <v>2.33</v>
      </c>
      <c r="F56" s="142">
        <v>1.96</v>
      </c>
      <c r="G56" s="142">
        <v>1.36</v>
      </c>
      <c r="H56" s="142">
        <v>2.2999999999999998</v>
      </c>
      <c r="I56" s="142">
        <v>0.28999999999999998</v>
      </c>
      <c r="J56" s="142">
        <v>2.96</v>
      </c>
      <c r="K56" s="142">
        <v>2.52</v>
      </c>
      <c r="L56" s="142">
        <v>3.24</v>
      </c>
      <c r="M56" s="142">
        <v>8.3000000000000007</v>
      </c>
      <c r="N56" s="142">
        <v>4.72</v>
      </c>
      <c r="O56" s="142">
        <v>1.28</v>
      </c>
      <c r="P56" s="142">
        <v>2.39</v>
      </c>
      <c r="Q56" s="142">
        <v>0.22</v>
      </c>
      <c r="R56" s="142">
        <v>-1.66</v>
      </c>
      <c r="S56" s="142">
        <v>0.72</v>
      </c>
      <c r="T56" s="142">
        <v>-0.56000000000000005</v>
      </c>
      <c r="U56" s="142">
        <v>0.74</v>
      </c>
      <c r="V56" s="142">
        <v>0.42</v>
      </c>
      <c r="W56" s="142">
        <v>0.1</v>
      </c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120"/>
      <c r="BC56" s="25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</row>
    <row r="57" spans="1:200" ht="15" customHeight="1" x14ac:dyDescent="0.2">
      <c r="A57" s="2"/>
      <c r="B57" s="24" t="str">
        <f t="shared" si="1"/>
        <v>[ROW:FEB_2020]</v>
      </c>
      <c r="C57" s="29">
        <f>IF(OR(Client_Info!$D$14="",Client_Info!$D$15=""),"",IF(EOMONTH(Client_Info!$D$14,49)&lt;=Client_Info!$D$15,EOMONTH(Client_Info!$D$14,49),""))</f>
        <v>43890</v>
      </c>
      <c r="D57" s="142">
        <v>-7.34</v>
      </c>
      <c r="E57" s="142">
        <v>-7.16</v>
      </c>
      <c r="F57" s="142">
        <v>-5.78</v>
      </c>
      <c r="G57" s="142">
        <v>-8.92</v>
      </c>
      <c r="H57" s="142">
        <v>-8.18</v>
      </c>
      <c r="I57" s="142">
        <v>-6.87</v>
      </c>
      <c r="J57" s="142">
        <v>4.82</v>
      </c>
      <c r="K57" s="142">
        <v>6.07</v>
      </c>
      <c r="L57" s="142">
        <v>4.03</v>
      </c>
      <c r="M57" s="142">
        <v>11.44</v>
      </c>
      <c r="N57" s="142">
        <v>12.24</v>
      </c>
      <c r="O57" s="142">
        <v>1.51</v>
      </c>
      <c r="P57" s="142">
        <v>1.88</v>
      </c>
      <c r="Q57" s="142">
        <v>5.05</v>
      </c>
      <c r="R57" s="142">
        <v>-3.63</v>
      </c>
      <c r="S57" s="142">
        <v>-1.32</v>
      </c>
      <c r="T57" s="142">
        <v>1.6</v>
      </c>
      <c r="U57" s="142">
        <v>1.91</v>
      </c>
      <c r="V57" s="142">
        <v>1.93</v>
      </c>
      <c r="W57" s="142">
        <v>0.16</v>
      </c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120"/>
      <c r="BC57" s="25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</row>
    <row r="58" spans="1:200" ht="15" customHeight="1" x14ac:dyDescent="0.2">
      <c r="A58" s="2"/>
      <c r="B58" s="24" t="str">
        <f t="shared" si="1"/>
        <v>[ROW:MAR_2020]</v>
      </c>
      <c r="C58" s="29">
        <f>IF(OR(Client_Info!$D$14="",Client_Info!$D$15=""),"",IF(EOMONTH(Client_Info!$D$14,50)&lt;=Client_Info!$D$15,EOMONTH(Client_Info!$D$14,50),""))</f>
        <v>43921</v>
      </c>
      <c r="D58" s="142">
        <v>-13.08</v>
      </c>
      <c r="E58" s="142">
        <v>-12.17</v>
      </c>
      <c r="F58" s="142">
        <v>-11.9</v>
      </c>
      <c r="G58" s="142">
        <v>-15.36</v>
      </c>
      <c r="H58" s="142">
        <v>-14.34</v>
      </c>
      <c r="I58" s="142">
        <v>-17.2</v>
      </c>
      <c r="J58" s="142">
        <v>-5.68</v>
      </c>
      <c r="K58" s="142">
        <v>-7.26</v>
      </c>
      <c r="L58" s="142">
        <v>-6.07</v>
      </c>
      <c r="M58" s="142">
        <v>-5.16</v>
      </c>
      <c r="N58" s="142">
        <v>-12.92</v>
      </c>
      <c r="O58" s="142">
        <v>0.56000000000000005</v>
      </c>
      <c r="P58" s="142">
        <v>-0.65</v>
      </c>
      <c r="Q58" s="142">
        <v>-6.92</v>
      </c>
      <c r="R58" s="142">
        <v>-1.67</v>
      </c>
      <c r="S58" s="142">
        <v>-0.4</v>
      </c>
      <c r="T58" s="142">
        <v>-1.92</v>
      </c>
      <c r="U58" s="142">
        <v>-0.26</v>
      </c>
      <c r="V58" s="142">
        <v>-0.52</v>
      </c>
      <c r="W58" s="142">
        <v>0.1</v>
      </c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120"/>
      <c r="BC58" s="25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</row>
    <row r="59" spans="1:200" ht="15" customHeight="1" x14ac:dyDescent="0.2">
      <c r="A59" s="2"/>
      <c r="B59" s="24" t="str">
        <f t="shared" si="1"/>
        <v>[ROW:APR_2020]</v>
      </c>
      <c r="C59" s="29">
        <f>IF(OR(Client_Info!$D$14="",Client_Info!$D$15=""),"",IF(EOMONTH(Client_Info!$D$14,51)&lt;=Client_Info!$D$15,EOMONTH(Client_Info!$D$14,51),""))</f>
        <v>43951</v>
      </c>
      <c r="D59" s="142">
        <v>15.22</v>
      </c>
      <c r="E59" s="142">
        <v>10.29</v>
      </c>
      <c r="F59" s="142">
        <v>13.56</v>
      </c>
      <c r="G59" s="142">
        <v>11.78</v>
      </c>
      <c r="H59" s="142">
        <v>10.89</v>
      </c>
      <c r="I59" s="142">
        <v>7.92</v>
      </c>
      <c r="J59" s="142">
        <v>3.86</v>
      </c>
      <c r="K59" s="142">
        <v>5.98</v>
      </c>
      <c r="L59" s="142">
        <v>5</v>
      </c>
      <c r="M59" s="142">
        <v>-0.17</v>
      </c>
      <c r="N59" s="142">
        <v>-1.82</v>
      </c>
      <c r="O59" s="142">
        <v>2</v>
      </c>
      <c r="P59" s="142">
        <v>0.89</v>
      </c>
      <c r="Q59" s="142">
        <v>4.55</v>
      </c>
      <c r="R59" s="142">
        <v>5.85</v>
      </c>
      <c r="S59" s="142">
        <v>3.56</v>
      </c>
      <c r="T59" s="142">
        <v>1.78</v>
      </c>
      <c r="U59" s="142">
        <v>2.09</v>
      </c>
      <c r="V59" s="142">
        <v>1.06</v>
      </c>
      <c r="W59" s="142">
        <v>0.09</v>
      </c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120"/>
      <c r="BC59" s="25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</row>
    <row r="60" spans="1:200" ht="15" customHeight="1" x14ac:dyDescent="0.2">
      <c r="A60" s="2"/>
      <c r="B60" s="24" t="str">
        <f t="shared" si="1"/>
        <v>[ROW:MAY_2020]</v>
      </c>
      <c r="C60" s="29">
        <f>IF(OR(Client_Info!$D$14="",Client_Info!$D$15=""),"",IF(EOMONTH(Client_Info!$D$14,52)&lt;=Client_Info!$D$15,EOMONTH(Client_Info!$D$14,52),""))</f>
        <v>43982</v>
      </c>
      <c r="D60" s="142">
        <v>-3.14</v>
      </c>
      <c r="E60" s="142">
        <v>-1.3</v>
      </c>
      <c r="F60" s="142">
        <v>-0.91</v>
      </c>
      <c r="G60" s="142">
        <v>-0.78</v>
      </c>
      <c r="H60" s="142">
        <v>-3.46</v>
      </c>
      <c r="I60" s="142">
        <v>-7.28</v>
      </c>
      <c r="J60" s="142">
        <v>0.09</v>
      </c>
      <c r="K60" s="142">
        <v>0.51</v>
      </c>
      <c r="L60" s="142">
        <v>4.04</v>
      </c>
      <c r="M60" s="142">
        <v>1.95</v>
      </c>
      <c r="N60" s="142">
        <v>3.01</v>
      </c>
      <c r="O60" s="142">
        <v>0.42</v>
      </c>
      <c r="P60" s="142">
        <v>5.35</v>
      </c>
      <c r="Q60" s="142">
        <v>7.93</v>
      </c>
      <c r="R60" s="142">
        <v>-3.02</v>
      </c>
      <c r="S60" s="142">
        <v>-1.01</v>
      </c>
      <c r="T60" s="142">
        <v>-0.7</v>
      </c>
      <c r="U60" s="142">
        <v>-0.12</v>
      </c>
      <c r="V60" s="142">
        <v>-0.32</v>
      </c>
      <c r="W60" s="142">
        <v>0.11</v>
      </c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120"/>
      <c r="BC60" s="25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</row>
    <row r="61" spans="1:200" ht="15" customHeight="1" x14ac:dyDescent="0.2">
      <c r="A61" s="2"/>
      <c r="B61" s="24" t="str">
        <f t="shared" si="1"/>
        <v>[ROW:JUN_2020]</v>
      </c>
      <c r="C61" s="29">
        <f>IF(OR(Client_Info!$D$14="",Client_Info!$D$15=""),"",IF(EOMONTH(Client_Info!$D$14,53)&lt;=Client_Info!$D$15,EOMONTH(Client_Info!$D$14,53),""))</f>
        <v>44012</v>
      </c>
      <c r="D61" s="142">
        <v>4.88</v>
      </c>
      <c r="E61" s="142">
        <v>4</v>
      </c>
      <c r="F61" s="142">
        <v>2.13</v>
      </c>
      <c r="G61" s="142">
        <v>3.49</v>
      </c>
      <c r="H61" s="142">
        <v>3.53</v>
      </c>
      <c r="I61" s="142">
        <v>6.4</v>
      </c>
      <c r="J61" s="142">
        <v>0.97</v>
      </c>
      <c r="K61" s="142">
        <v>0.83</v>
      </c>
      <c r="L61" s="142">
        <v>0.33</v>
      </c>
      <c r="M61" s="142">
        <v>9.64</v>
      </c>
      <c r="N61" s="142">
        <v>3.67</v>
      </c>
      <c r="O61" s="142">
        <v>2.95</v>
      </c>
      <c r="P61" s="142">
        <v>2.91</v>
      </c>
      <c r="Q61" s="142">
        <v>0.36</v>
      </c>
      <c r="R61" s="142">
        <v>-0.56000000000000005</v>
      </c>
      <c r="S61" s="142">
        <v>-2.82</v>
      </c>
      <c r="T61" s="142">
        <v>0.18</v>
      </c>
      <c r="U61" s="142">
        <v>-0.93</v>
      </c>
      <c r="V61" s="142">
        <v>0.04</v>
      </c>
      <c r="W61" s="142">
        <v>0.11</v>
      </c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120"/>
      <c r="BC61" s="25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</row>
    <row r="62" spans="1:200" ht="15" customHeight="1" x14ac:dyDescent="0.2">
      <c r="A62" s="2"/>
      <c r="B62" s="24" t="str">
        <f t="shared" si="1"/>
        <v>[ROW:JUL_2020]</v>
      </c>
      <c r="C62" s="29">
        <f>IF(OR(Client_Info!$D$14="",Client_Info!$D$15=""),"",IF(EOMONTH(Client_Info!$D$14,54)&lt;=Client_Info!$D$15,EOMONTH(Client_Info!$D$14,54),""))</f>
        <v>44043</v>
      </c>
      <c r="D62" s="142">
        <v>6.79</v>
      </c>
      <c r="E62" s="142">
        <v>5.61</v>
      </c>
      <c r="F62" s="142">
        <v>7.09</v>
      </c>
      <c r="G62" s="142">
        <v>1.48</v>
      </c>
      <c r="H62" s="142">
        <v>2.8</v>
      </c>
      <c r="I62" s="142">
        <v>3.5</v>
      </c>
      <c r="J62" s="142">
        <v>11.73</v>
      </c>
      <c r="K62" s="142">
        <v>7.64</v>
      </c>
      <c r="L62" s="142">
        <v>10.81</v>
      </c>
      <c r="M62" s="142">
        <v>5.72</v>
      </c>
      <c r="N62" s="142">
        <v>8.6999999999999993</v>
      </c>
      <c r="O62" s="142">
        <v>1.1499999999999999</v>
      </c>
      <c r="P62" s="142">
        <v>3.25</v>
      </c>
      <c r="Q62" s="142">
        <v>-0.77</v>
      </c>
      <c r="R62" s="142">
        <v>5.73</v>
      </c>
      <c r="S62" s="142">
        <v>2.75</v>
      </c>
      <c r="T62" s="142">
        <v>0.87</v>
      </c>
      <c r="U62" s="142">
        <v>1</v>
      </c>
      <c r="V62" s="142">
        <v>1.1499999999999999</v>
      </c>
      <c r="W62" s="142">
        <v>0.06</v>
      </c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120"/>
      <c r="BC62" s="25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</row>
    <row r="63" spans="1:200" ht="15" customHeight="1" x14ac:dyDescent="0.2">
      <c r="A63" s="2"/>
      <c r="B63" s="24" t="str">
        <f t="shared" si="1"/>
        <v>[ROW:AUG_2020]</v>
      </c>
      <c r="C63" s="29">
        <f>IF(OR(Client_Info!$D$14="",Client_Info!$D$15=""),"",IF(EOMONTH(Client_Info!$D$14,55)&lt;=Client_Info!$D$15,EOMONTH(Client_Info!$D$14,55),""))</f>
        <v>44074</v>
      </c>
      <c r="D63" s="142">
        <v>4.42</v>
      </c>
      <c r="E63" s="142">
        <v>5.03</v>
      </c>
      <c r="F63" s="142">
        <v>5.05</v>
      </c>
      <c r="G63" s="142">
        <v>-1.91</v>
      </c>
      <c r="H63" s="142">
        <v>-1.76</v>
      </c>
      <c r="I63" s="142">
        <v>-0.95</v>
      </c>
      <c r="J63" s="142">
        <v>2.71</v>
      </c>
      <c r="K63" s="142">
        <v>6.66</v>
      </c>
      <c r="L63" s="142">
        <v>6.2</v>
      </c>
      <c r="M63" s="142">
        <v>-0.28000000000000003</v>
      </c>
      <c r="N63" s="142">
        <v>-8</v>
      </c>
      <c r="O63" s="142">
        <v>0.59</v>
      </c>
      <c r="P63" s="142">
        <v>0.41</v>
      </c>
      <c r="Q63" s="142">
        <v>2.72</v>
      </c>
      <c r="R63" s="142">
        <v>0.79</v>
      </c>
      <c r="S63" s="142">
        <v>0.57999999999999996</v>
      </c>
      <c r="T63" s="142">
        <v>3.35</v>
      </c>
      <c r="U63" s="142">
        <v>-1.18</v>
      </c>
      <c r="V63" s="142">
        <v>-1.93</v>
      </c>
      <c r="W63" s="142">
        <v>0.04</v>
      </c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120"/>
      <c r="BC63" s="25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</row>
    <row r="64" spans="1:200" ht="15" customHeight="1" x14ac:dyDescent="0.2">
      <c r="A64" s="2"/>
      <c r="B64" s="24" t="str">
        <f t="shared" si="1"/>
        <v>[ROW:SEP_2020]</v>
      </c>
      <c r="C64" s="29">
        <f>IF(OR(Client_Info!$D$14="",Client_Info!$D$15=""),"",IF(EOMONTH(Client_Info!$D$14,56)&lt;=Client_Info!$D$15,EOMONTH(Client_Info!$D$14,56),""))</f>
        <v>44104</v>
      </c>
      <c r="D64" s="142">
        <v>-0.86</v>
      </c>
      <c r="E64" s="142">
        <v>-1.57</v>
      </c>
      <c r="F64" s="142">
        <v>-1.54</v>
      </c>
      <c r="G64" s="142">
        <v>3.71</v>
      </c>
      <c r="H64" s="142">
        <v>4.5999999999999996</v>
      </c>
      <c r="I64" s="142">
        <v>8.01</v>
      </c>
      <c r="J64" s="142">
        <v>3.95</v>
      </c>
      <c r="K64" s="142">
        <v>2.93</v>
      </c>
      <c r="L64" s="142">
        <v>2.31</v>
      </c>
      <c r="M64" s="142">
        <v>-5.24</v>
      </c>
      <c r="N64" s="142">
        <v>-5.92</v>
      </c>
      <c r="O64" s="142">
        <v>-1.18</v>
      </c>
      <c r="P64" s="142">
        <v>2.35</v>
      </c>
      <c r="Q64" s="142">
        <v>4.95</v>
      </c>
      <c r="R64" s="142">
        <v>4.46</v>
      </c>
      <c r="S64" s="142">
        <v>-0.5</v>
      </c>
      <c r="T64" s="142">
        <v>1.42</v>
      </c>
      <c r="U64" s="142">
        <v>-0.36</v>
      </c>
      <c r="V64" s="142">
        <v>-1.22</v>
      </c>
      <c r="W64" s="142">
        <v>0.04</v>
      </c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120"/>
      <c r="BC64" s="25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</row>
    <row r="65" spans="1:200" ht="15" customHeight="1" x14ac:dyDescent="0.2">
      <c r="A65" s="2"/>
      <c r="B65" s="24" t="str">
        <f t="shared" si="1"/>
        <v>[ROW:OCT_2020]</v>
      </c>
      <c r="C65" s="29">
        <f>IF(OR(Client_Info!$D$14="",Client_Info!$D$15=""),"",IF(EOMONTH(Client_Info!$D$14,57)&lt;=Client_Info!$D$15,EOMONTH(Client_Info!$D$14,57),""))</f>
        <v>44135</v>
      </c>
      <c r="D65" s="142">
        <v>-0.46</v>
      </c>
      <c r="E65" s="142">
        <v>1</v>
      </c>
      <c r="F65" s="142">
        <v>-1.76</v>
      </c>
      <c r="G65" s="142">
        <v>1.75</v>
      </c>
      <c r="H65" s="142">
        <v>1.75</v>
      </c>
      <c r="I65" s="142">
        <v>1.74</v>
      </c>
      <c r="J65" s="142">
        <v>3.25</v>
      </c>
      <c r="K65" s="142">
        <v>-0.41</v>
      </c>
      <c r="L65" s="142">
        <v>2.19</v>
      </c>
      <c r="M65" s="142">
        <v>-1.04</v>
      </c>
      <c r="N65" s="142">
        <v>-0.17</v>
      </c>
      <c r="O65" s="142">
        <v>0.3</v>
      </c>
      <c r="P65" s="142">
        <v>-1.23</v>
      </c>
      <c r="Q65" s="142">
        <v>-1.73</v>
      </c>
      <c r="R65" s="142">
        <v>0.14000000000000001</v>
      </c>
      <c r="S65" s="142">
        <v>-0.45</v>
      </c>
      <c r="T65" s="142">
        <v>0.96</v>
      </c>
      <c r="U65" s="142">
        <v>-0.68</v>
      </c>
      <c r="V65" s="142">
        <v>-0.56000000000000005</v>
      </c>
      <c r="W65" s="142">
        <v>0.04</v>
      </c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120"/>
      <c r="BC65" s="25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</row>
    <row r="66" spans="1:200" ht="15" customHeight="1" x14ac:dyDescent="0.2">
      <c r="A66" s="2"/>
      <c r="B66" s="24" t="str">
        <f t="shared" si="1"/>
        <v>[ROW:NOV_2020]</v>
      </c>
      <c r="C66" s="29">
        <f>IF(OR(Client_Info!$D$14="",Client_Info!$D$15=""),"",IF(EOMONTH(Client_Info!$D$14,58)&lt;=Client_Info!$D$15,EOMONTH(Client_Info!$D$14,58),""))</f>
        <v>44165</v>
      </c>
      <c r="D66" s="142">
        <v>2.93</v>
      </c>
      <c r="E66" s="142">
        <v>1.77</v>
      </c>
      <c r="F66" s="142">
        <v>0.32</v>
      </c>
      <c r="G66" s="142">
        <v>6.29</v>
      </c>
      <c r="H66" s="142">
        <v>3.75</v>
      </c>
      <c r="I66" s="142">
        <v>7.64</v>
      </c>
      <c r="J66" s="142">
        <v>2.16</v>
      </c>
      <c r="K66" s="142">
        <v>2.5299999999999998</v>
      </c>
      <c r="L66" s="142">
        <v>2.39</v>
      </c>
      <c r="M66" s="142">
        <v>-2.96</v>
      </c>
      <c r="N66" s="142">
        <v>-2.89</v>
      </c>
      <c r="O66" s="142">
        <v>3.23</v>
      </c>
      <c r="P66" s="142">
        <v>-1.1399999999999999</v>
      </c>
      <c r="Q66" s="142">
        <v>-0.11</v>
      </c>
      <c r="R66" s="142">
        <v>-0.71</v>
      </c>
      <c r="S66" s="142">
        <v>-0.23</v>
      </c>
      <c r="T66" s="142">
        <v>0.01</v>
      </c>
      <c r="U66" s="142">
        <v>1.53</v>
      </c>
      <c r="V66" s="142">
        <v>1.07</v>
      </c>
      <c r="W66" s="142">
        <v>0.04</v>
      </c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120"/>
      <c r="BC66" s="25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</row>
    <row r="67" spans="1:200" ht="15" customHeight="1" x14ac:dyDescent="0.2">
      <c r="A67" s="2"/>
      <c r="B67" s="24" t="str">
        <f t="shared" si="1"/>
        <v>[ROW:DEC_2020]</v>
      </c>
      <c r="C67" s="29">
        <f>IF(OR(Client_Info!$D$14="",Client_Info!$D$15=""),"",IF(EOMONTH(Client_Info!$D$14,59)&lt;=Client_Info!$D$15,EOMONTH(Client_Info!$D$14,59),""))</f>
        <v>44196</v>
      </c>
      <c r="D67" s="142">
        <v>5.69</v>
      </c>
      <c r="E67" s="142">
        <v>6.48</v>
      </c>
      <c r="F67" s="142">
        <v>6.53</v>
      </c>
      <c r="G67" s="142">
        <v>2.84</v>
      </c>
      <c r="H67" s="142">
        <v>2.34</v>
      </c>
      <c r="I67" s="142">
        <v>1.82</v>
      </c>
      <c r="J67" s="142">
        <v>3.52</v>
      </c>
      <c r="K67" s="142">
        <v>2.35</v>
      </c>
      <c r="L67" s="142">
        <v>-3.5</v>
      </c>
      <c r="M67" s="142">
        <v>2.95</v>
      </c>
      <c r="N67" s="142">
        <v>2.21</v>
      </c>
      <c r="O67" s="142">
        <v>0.36</v>
      </c>
      <c r="P67" s="142">
        <v>2.17</v>
      </c>
      <c r="Q67" s="142">
        <v>1.45</v>
      </c>
      <c r="R67" s="142">
        <v>0.26</v>
      </c>
      <c r="S67" s="142">
        <v>5.65</v>
      </c>
      <c r="T67" s="142">
        <v>1.23</v>
      </c>
      <c r="U67" s="142">
        <v>2.39</v>
      </c>
      <c r="V67" s="142">
        <v>2.2000000000000002</v>
      </c>
      <c r="W67" s="142">
        <v>0.01</v>
      </c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120"/>
      <c r="BC67" s="25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</row>
    <row r="68" spans="1:200" ht="15" customHeight="1" x14ac:dyDescent="0.2">
      <c r="A68" s="2"/>
      <c r="B68" s="24" t="str">
        <f t="shared" si="1"/>
        <v>[ROW:JAN_2021]</v>
      </c>
      <c r="C68" s="29">
        <f>IF(OR(Client_Info!$D$14="",Client_Info!$D$15=""),"",IF(EOMONTH(Client_Info!$D$14,60)&lt;=Client_Info!$D$15,EOMONTH(Client_Info!$D$14,60),""))</f>
        <v>44227</v>
      </c>
      <c r="D68" s="142">
        <v>-1.06</v>
      </c>
      <c r="E68" s="142">
        <v>-1.65</v>
      </c>
      <c r="F68" s="142">
        <v>-0.41</v>
      </c>
      <c r="G68" s="142">
        <v>-3.18</v>
      </c>
      <c r="H68" s="142">
        <v>-2.19</v>
      </c>
      <c r="I68" s="142">
        <v>11.61</v>
      </c>
      <c r="J68" s="142">
        <v>-0.45</v>
      </c>
      <c r="K68" s="142">
        <v>-0.57999999999999996</v>
      </c>
      <c r="L68" s="142">
        <v>-1.74</v>
      </c>
      <c r="M68" s="142">
        <v>4.2300000000000004</v>
      </c>
      <c r="N68" s="142">
        <v>1.95</v>
      </c>
      <c r="O68" s="142">
        <v>2.2599999999999998</v>
      </c>
      <c r="P68" s="142">
        <v>1.48</v>
      </c>
      <c r="Q68" s="142">
        <v>-0.99</v>
      </c>
      <c r="R68" s="142">
        <v>2.0299999999999998</v>
      </c>
      <c r="S68" s="142">
        <v>1.02</v>
      </c>
      <c r="T68" s="142">
        <v>1.39</v>
      </c>
      <c r="U68" s="142">
        <v>-0.11</v>
      </c>
      <c r="V68" s="142">
        <v>1.41</v>
      </c>
      <c r="W68" s="142">
        <v>0.03</v>
      </c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120"/>
      <c r="BC68" s="25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</row>
    <row r="69" spans="1:200" ht="15" customHeight="1" x14ac:dyDescent="0.2">
      <c r="A69" s="2"/>
      <c r="B69" s="24" t="str">
        <f t="shared" si="1"/>
        <v>[ROW:FEB_2021]</v>
      </c>
      <c r="C69" s="29">
        <f>IF(OR(Client_Info!$D$14="",Client_Info!$D$15=""),"",IF(EOMONTH(Client_Info!$D$14,61)&lt;=Client_Info!$D$15,EOMONTH(Client_Info!$D$14,61),""))</f>
        <v>44255</v>
      </c>
      <c r="D69" s="142">
        <v>1.3</v>
      </c>
      <c r="E69" s="142">
        <v>-1.17</v>
      </c>
      <c r="F69" s="142">
        <v>-0.98</v>
      </c>
      <c r="G69" s="142">
        <v>-2.4300000000000002</v>
      </c>
      <c r="H69" s="142">
        <v>-1.38</v>
      </c>
      <c r="I69" s="142">
        <v>10.98</v>
      </c>
      <c r="J69" s="142">
        <v>-0.24</v>
      </c>
      <c r="K69" s="142">
        <v>0.62</v>
      </c>
      <c r="L69" s="142">
        <v>0.71</v>
      </c>
      <c r="M69" s="142">
        <v>-4.1399999999999997</v>
      </c>
      <c r="N69" s="142">
        <v>-4.45</v>
      </c>
      <c r="O69" s="142">
        <v>0.86</v>
      </c>
      <c r="P69" s="142">
        <v>-0.18</v>
      </c>
      <c r="Q69" s="142">
        <v>3.79</v>
      </c>
      <c r="R69" s="142">
        <v>2.81</v>
      </c>
      <c r="S69" s="142">
        <v>-1.0900000000000001</v>
      </c>
      <c r="T69" s="142">
        <v>-0.28999999999999998</v>
      </c>
      <c r="U69" s="142">
        <v>0</v>
      </c>
      <c r="V69" s="142">
        <v>-0.74</v>
      </c>
      <c r="W69" s="142">
        <v>0.06</v>
      </c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120"/>
      <c r="BC69" s="25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</row>
    <row r="70" spans="1:200" ht="15" customHeight="1" x14ac:dyDescent="0.2">
      <c r="A70" s="2"/>
      <c r="B70" s="24" t="str">
        <f t="shared" si="1"/>
        <v>[ROW:MAR_2021]</v>
      </c>
      <c r="C70" s="29">
        <f>IF(OR(Client_Info!$D$14="",Client_Info!$D$15=""),"",IF(EOMONTH(Client_Info!$D$14,62)&lt;=Client_Info!$D$15,EOMONTH(Client_Info!$D$14,62),""))</f>
        <v>44286</v>
      </c>
      <c r="D70" s="142">
        <v>-2.71</v>
      </c>
      <c r="E70" s="142">
        <v>-4.57</v>
      </c>
      <c r="F70" s="142">
        <v>-4.92</v>
      </c>
      <c r="G70" s="142">
        <v>4.46</v>
      </c>
      <c r="H70" s="142">
        <v>3.98</v>
      </c>
      <c r="I70" s="142">
        <v>0.19</v>
      </c>
      <c r="J70" s="142">
        <v>-0.17</v>
      </c>
      <c r="K70" s="142">
        <v>2.78</v>
      </c>
      <c r="L70" s="142">
        <v>-0.26</v>
      </c>
      <c r="M70" s="142">
        <v>3.96</v>
      </c>
      <c r="N70" s="142">
        <v>1.29</v>
      </c>
      <c r="O70" s="142">
        <v>-0.53</v>
      </c>
      <c r="P70" s="142">
        <v>2.39</v>
      </c>
      <c r="Q70" s="142">
        <v>1.1399999999999999</v>
      </c>
      <c r="R70" s="142">
        <v>2.79</v>
      </c>
      <c r="S70" s="142">
        <v>4</v>
      </c>
      <c r="T70" s="142">
        <v>-1.22</v>
      </c>
      <c r="U70" s="142">
        <v>1.05</v>
      </c>
      <c r="V70" s="142">
        <v>-0.71</v>
      </c>
      <c r="W70" s="142">
        <v>0.02</v>
      </c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120"/>
      <c r="BC70" s="25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</row>
    <row r="71" spans="1:200" ht="15" customHeight="1" x14ac:dyDescent="0.2">
      <c r="A71" s="2"/>
      <c r="B71" s="24" t="str">
        <f t="shared" si="1"/>
        <v>[ROW:APR_2021]</v>
      </c>
      <c r="C71" s="29">
        <f>IF(OR(Client_Info!$D$14="",Client_Info!$D$15=""),"",IF(EOMONTH(Client_Info!$D$14,63)&lt;=Client_Info!$D$15,EOMONTH(Client_Info!$D$14,63),""))</f>
        <v>44316</v>
      </c>
      <c r="D71" s="142">
        <v>-6.03</v>
      </c>
      <c r="E71" s="142">
        <v>-3.2</v>
      </c>
      <c r="F71" s="142">
        <v>-2.4300000000000002</v>
      </c>
      <c r="G71" s="142">
        <v>2.84</v>
      </c>
      <c r="H71" s="142">
        <v>2.39</v>
      </c>
      <c r="I71" s="142">
        <v>4.05</v>
      </c>
      <c r="J71" s="142">
        <v>1.04</v>
      </c>
      <c r="K71" s="142">
        <v>0.36</v>
      </c>
      <c r="L71" s="142">
        <v>-4</v>
      </c>
      <c r="M71" s="142">
        <v>4.55</v>
      </c>
      <c r="N71" s="142">
        <v>2.77</v>
      </c>
      <c r="O71" s="142">
        <v>1.8</v>
      </c>
      <c r="P71" s="142">
        <v>3.65</v>
      </c>
      <c r="Q71" s="142">
        <v>1.76</v>
      </c>
      <c r="R71" s="142">
        <v>-2.57</v>
      </c>
      <c r="S71" s="142">
        <v>-0.06</v>
      </c>
      <c r="T71" s="142">
        <v>-0.39</v>
      </c>
      <c r="U71" s="142">
        <v>1.18</v>
      </c>
      <c r="V71" s="142">
        <v>2.0699999999999998</v>
      </c>
      <c r="W71" s="142">
        <v>0.02</v>
      </c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120"/>
      <c r="BC71" s="25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</row>
    <row r="72" spans="1:200" ht="15" customHeight="1" x14ac:dyDescent="0.2">
      <c r="A72" s="2"/>
      <c r="B72" s="24" t="str">
        <f t="shared" ref="B72:B103" si="2">IF(C72="","","[ROW:"&amp;UPPER(TEXT(C72,"MMM"))&amp;"_"&amp;TEXT(C72,"YYYY")&amp;"]")</f>
        <v>[ROW:MAY_2021]</v>
      </c>
      <c r="C72" s="29">
        <f>IF(OR(Client_Info!$D$14="",Client_Info!$D$15=""),"",IF(EOMONTH(Client_Info!$D$14,64)&lt;=Client_Info!$D$15,EOMONTH(Client_Info!$D$14,64),""))</f>
        <v>44347</v>
      </c>
      <c r="D72" s="142">
        <v>6.19</v>
      </c>
      <c r="E72" s="142">
        <v>5.36</v>
      </c>
      <c r="F72" s="142">
        <v>2.93</v>
      </c>
      <c r="G72" s="142">
        <v>-0.25</v>
      </c>
      <c r="H72" s="142">
        <v>-1.8</v>
      </c>
      <c r="I72" s="142">
        <v>5.4</v>
      </c>
      <c r="J72" s="142">
        <v>0.73</v>
      </c>
      <c r="K72" s="142">
        <v>-0.85</v>
      </c>
      <c r="L72" s="142">
        <v>-1.36</v>
      </c>
      <c r="M72" s="142">
        <v>6.8</v>
      </c>
      <c r="N72" s="142">
        <v>0.12</v>
      </c>
      <c r="O72" s="142">
        <v>0.03</v>
      </c>
      <c r="P72" s="142">
        <v>5.91</v>
      </c>
      <c r="Q72" s="142">
        <v>-2.73</v>
      </c>
      <c r="R72" s="142">
        <v>2.86</v>
      </c>
      <c r="S72" s="142">
        <v>2.91</v>
      </c>
      <c r="T72" s="142">
        <v>0.83</v>
      </c>
      <c r="U72" s="142">
        <v>-0.12</v>
      </c>
      <c r="V72" s="142">
        <v>-1.19</v>
      </c>
      <c r="W72" s="142">
        <v>-0.04</v>
      </c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120"/>
      <c r="BC72" s="25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</row>
    <row r="73" spans="1:200" ht="15" customHeight="1" x14ac:dyDescent="0.2">
      <c r="A73" s="2"/>
      <c r="B73" s="24" t="str">
        <f t="shared" si="2"/>
        <v>[ROW:JUN_2021]</v>
      </c>
      <c r="C73" s="29">
        <f>IF(OR(Client_Info!$D$14="",Client_Info!$D$15=""),"",IF(EOMONTH(Client_Info!$D$14,65)&lt;=Client_Info!$D$15,EOMONTH(Client_Info!$D$14,65),""))</f>
        <v>44377</v>
      </c>
      <c r="D73" s="142">
        <v>5.12</v>
      </c>
      <c r="E73" s="142">
        <v>7.61</v>
      </c>
      <c r="F73" s="142">
        <v>9.3699999999999992</v>
      </c>
      <c r="G73" s="142">
        <v>2.58</v>
      </c>
      <c r="H73" s="142">
        <v>2.04</v>
      </c>
      <c r="I73" s="142">
        <v>9.18</v>
      </c>
      <c r="J73" s="142">
        <v>-0.63</v>
      </c>
      <c r="K73" s="142">
        <v>1.92</v>
      </c>
      <c r="L73" s="142">
        <v>3.82</v>
      </c>
      <c r="M73" s="142">
        <v>4.16</v>
      </c>
      <c r="N73" s="142">
        <v>8.09</v>
      </c>
      <c r="O73" s="142">
        <v>2.2999999999999998</v>
      </c>
      <c r="P73" s="142">
        <v>5.0199999999999996</v>
      </c>
      <c r="Q73" s="142">
        <v>2.63</v>
      </c>
      <c r="R73" s="142">
        <v>-1.41</v>
      </c>
      <c r="S73" s="142">
        <v>-0.56000000000000005</v>
      </c>
      <c r="T73" s="142">
        <v>-0.38</v>
      </c>
      <c r="U73" s="142">
        <v>0.39</v>
      </c>
      <c r="V73" s="142">
        <v>0.37</v>
      </c>
      <c r="W73" s="142">
        <v>-7.0000000000000007E-2</v>
      </c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120"/>
      <c r="BC73" s="25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</row>
    <row r="74" spans="1:200" ht="15" customHeight="1" x14ac:dyDescent="0.2">
      <c r="A74" s="2"/>
      <c r="B74" s="24" t="str">
        <f t="shared" si="2"/>
        <v>[ROW:JUL_2021]</v>
      </c>
      <c r="C74" s="29">
        <f>IF(OR(Client_Info!$D$14="",Client_Info!$D$15=""),"",IF(EOMONTH(Client_Info!$D$14,66)&lt;=Client_Info!$D$15,EOMONTH(Client_Info!$D$14,66),""))</f>
        <v>44408</v>
      </c>
      <c r="D74" s="142">
        <v>2.0499999999999998</v>
      </c>
      <c r="E74" s="142">
        <v>1.54</v>
      </c>
      <c r="F74" s="142">
        <v>-0.49</v>
      </c>
      <c r="G74" s="142">
        <v>7.39</v>
      </c>
      <c r="H74" s="142">
        <v>5.14</v>
      </c>
      <c r="I74" s="142">
        <v>-5.32</v>
      </c>
      <c r="J74" s="142">
        <v>0.28999999999999998</v>
      </c>
      <c r="K74" s="142">
        <v>2.75</v>
      </c>
      <c r="L74" s="142">
        <v>5.0199999999999996</v>
      </c>
      <c r="M74" s="142">
        <v>6.96</v>
      </c>
      <c r="N74" s="142">
        <v>12.3</v>
      </c>
      <c r="O74" s="142">
        <v>-2.2400000000000002</v>
      </c>
      <c r="P74" s="142">
        <v>2.89</v>
      </c>
      <c r="Q74" s="142">
        <v>-1.34</v>
      </c>
      <c r="R74" s="142">
        <v>1.38</v>
      </c>
      <c r="S74" s="142">
        <v>3.18</v>
      </c>
      <c r="T74" s="142">
        <v>1.7</v>
      </c>
      <c r="U74" s="142">
        <v>1.95</v>
      </c>
      <c r="V74" s="142">
        <v>0.95</v>
      </c>
      <c r="W74" s="142">
        <v>0.02</v>
      </c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120"/>
      <c r="BC74" s="25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</row>
    <row r="75" spans="1:200" ht="15" customHeight="1" x14ac:dyDescent="0.2">
      <c r="A75" s="2"/>
      <c r="B75" s="24" t="str">
        <f t="shared" si="2"/>
        <v>[ROW:AUG_2021]</v>
      </c>
      <c r="C75" s="29">
        <f>IF(OR(Client_Info!$D$14="",Client_Info!$D$15=""),"",IF(EOMONTH(Client_Info!$D$14,67)&lt;=Client_Info!$D$15,EOMONTH(Client_Info!$D$14,67),""))</f>
        <v>44439</v>
      </c>
      <c r="D75" s="142">
        <v>6.81</v>
      </c>
      <c r="E75" s="142">
        <v>5.85</v>
      </c>
      <c r="F75" s="142">
        <v>6.39</v>
      </c>
      <c r="G75" s="142">
        <v>-2.5</v>
      </c>
      <c r="H75" s="142">
        <v>-2.8</v>
      </c>
      <c r="I75" s="142">
        <v>4.41</v>
      </c>
      <c r="J75" s="142">
        <v>1.63</v>
      </c>
      <c r="K75" s="142">
        <v>1.97</v>
      </c>
      <c r="L75" s="142">
        <v>1.77</v>
      </c>
      <c r="M75" s="142">
        <v>-4.33</v>
      </c>
      <c r="N75" s="142">
        <v>3.87</v>
      </c>
      <c r="O75" s="142">
        <v>2.6</v>
      </c>
      <c r="P75" s="142">
        <v>2.02</v>
      </c>
      <c r="Q75" s="142">
        <v>-0.18</v>
      </c>
      <c r="R75" s="142">
        <v>1.1299999999999999</v>
      </c>
      <c r="S75" s="142">
        <v>3.39</v>
      </c>
      <c r="T75" s="142">
        <v>0.96</v>
      </c>
      <c r="U75" s="142">
        <v>0.22</v>
      </c>
      <c r="V75" s="142">
        <v>0.7</v>
      </c>
      <c r="W75" s="142">
        <v>0.01</v>
      </c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120"/>
      <c r="BC75" s="25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</row>
    <row r="76" spans="1:200" ht="15" customHeight="1" x14ac:dyDescent="0.2">
      <c r="A76" s="2"/>
      <c r="B76" s="24" t="str">
        <f t="shared" si="2"/>
        <v>[ROW:SEP_2021]</v>
      </c>
      <c r="C76" s="29">
        <f>IF(OR(Client_Info!$D$14="",Client_Info!$D$15=""),"",IF(EOMONTH(Client_Info!$D$14,68)&lt;=Client_Info!$D$15,EOMONTH(Client_Info!$D$14,68),""))</f>
        <v>44469</v>
      </c>
      <c r="D76" s="142">
        <v>1.47</v>
      </c>
      <c r="E76" s="142">
        <v>1.84</v>
      </c>
      <c r="F76" s="142">
        <v>2.2200000000000002</v>
      </c>
      <c r="G76" s="142">
        <v>0.64</v>
      </c>
      <c r="H76" s="142">
        <v>3.37</v>
      </c>
      <c r="I76" s="142">
        <v>7.28</v>
      </c>
      <c r="J76" s="142">
        <v>-4.25</v>
      </c>
      <c r="K76" s="142">
        <v>-3.42</v>
      </c>
      <c r="L76" s="142">
        <v>-1.03</v>
      </c>
      <c r="M76" s="142">
        <v>-0.75</v>
      </c>
      <c r="N76" s="142">
        <v>7.0000000000000007E-2</v>
      </c>
      <c r="O76" s="142">
        <v>2.48</v>
      </c>
      <c r="P76" s="142">
        <v>2.57</v>
      </c>
      <c r="Q76" s="142">
        <v>5.2</v>
      </c>
      <c r="R76" s="142">
        <v>-2.2999999999999998</v>
      </c>
      <c r="S76" s="142">
        <v>0.34</v>
      </c>
      <c r="T76" s="142">
        <v>0.88</v>
      </c>
      <c r="U76" s="142">
        <v>0.72</v>
      </c>
      <c r="V76" s="142">
        <v>1.42</v>
      </c>
      <c r="W76" s="142">
        <v>-0.01</v>
      </c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120"/>
      <c r="BC76" s="25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</row>
    <row r="77" spans="1:200" ht="15" customHeight="1" x14ac:dyDescent="0.2">
      <c r="A77" s="2"/>
      <c r="B77" s="24" t="str">
        <f t="shared" si="2"/>
        <v>[ROW:OCT_2021]</v>
      </c>
      <c r="C77" s="29">
        <f>IF(OR(Client_Info!$D$14="",Client_Info!$D$15=""),"",IF(EOMONTH(Client_Info!$D$14,69)&lt;=Client_Info!$D$15,EOMONTH(Client_Info!$D$14,69),""))</f>
        <v>44500</v>
      </c>
      <c r="D77" s="142">
        <v>-2.1</v>
      </c>
      <c r="E77" s="142">
        <v>-1.79</v>
      </c>
      <c r="F77" s="142">
        <v>-0.8</v>
      </c>
      <c r="G77" s="142">
        <v>0.93</v>
      </c>
      <c r="H77" s="142">
        <v>-0.75</v>
      </c>
      <c r="I77" s="142">
        <v>-8.65</v>
      </c>
      <c r="J77" s="142">
        <v>2.54</v>
      </c>
      <c r="K77" s="142">
        <v>4.87</v>
      </c>
      <c r="L77" s="142">
        <v>1.83</v>
      </c>
      <c r="M77" s="142">
        <v>-9</v>
      </c>
      <c r="N77" s="142">
        <v>-2.39</v>
      </c>
      <c r="O77" s="142">
        <v>5.32</v>
      </c>
      <c r="P77" s="142">
        <v>-0.3</v>
      </c>
      <c r="Q77" s="142">
        <v>0.7</v>
      </c>
      <c r="R77" s="142">
        <v>2.67</v>
      </c>
      <c r="S77" s="142">
        <v>-0.24</v>
      </c>
      <c r="T77" s="142">
        <v>3.46</v>
      </c>
      <c r="U77" s="142">
        <v>1.0900000000000001</v>
      </c>
      <c r="V77" s="142">
        <v>1.89</v>
      </c>
      <c r="W77" s="142">
        <v>0.02</v>
      </c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120"/>
      <c r="BC77" s="25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</row>
    <row r="78" spans="1:200" ht="15" customHeight="1" x14ac:dyDescent="0.2">
      <c r="A78" s="2"/>
      <c r="B78" s="24" t="str">
        <f t="shared" si="2"/>
        <v>[ROW:NOV_2021]</v>
      </c>
      <c r="C78" s="29">
        <f>IF(OR(Client_Info!$D$14="",Client_Info!$D$15=""),"",IF(EOMONTH(Client_Info!$D$14,70)&lt;=Client_Info!$D$15,EOMONTH(Client_Info!$D$14,70),""))</f>
        <v>44530</v>
      </c>
      <c r="D78" s="142">
        <v>1.45</v>
      </c>
      <c r="E78" s="142">
        <v>3.21</v>
      </c>
      <c r="F78" s="142">
        <v>1.9</v>
      </c>
      <c r="G78" s="142">
        <v>-1.0900000000000001</v>
      </c>
      <c r="H78" s="142">
        <v>0.65</v>
      </c>
      <c r="I78" s="142">
        <v>-3.81</v>
      </c>
      <c r="J78" s="142">
        <v>5.74</v>
      </c>
      <c r="K78" s="142">
        <v>2.37</v>
      </c>
      <c r="L78" s="142">
        <v>7.0000000000000007E-2</v>
      </c>
      <c r="M78" s="142">
        <v>4.8600000000000003</v>
      </c>
      <c r="N78" s="142">
        <v>-3.52</v>
      </c>
      <c r="O78" s="142">
        <v>-0.12</v>
      </c>
      <c r="P78" s="142">
        <v>-2.0299999999999998</v>
      </c>
      <c r="Q78" s="142">
        <v>-0.73</v>
      </c>
      <c r="R78" s="142">
        <v>1.71</v>
      </c>
      <c r="S78" s="142">
        <v>2.31</v>
      </c>
      <c r="T78" s="142">
        <v>-0.19</v>
      </c>
      <c r="U78" s="142">
        <v>-3.48</v>
      </c>
      <c r="V78" s="142">
        <v>-2.35</v>
      </c>
      <c r="W78" s="142">
        <v>0.01</v>
      </c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120"/>
      <c r="BC78" s="25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</row>
    <row r="79" spans="1:200" ht="15" customHeight="1" x14ac:dyDescent="0.2">
      <c r="A79" s="2"/>
      <c r="B79" s="24" t="str">
        <f t="shared" si="2"/>
        <v>[ROW:DEC_2021]</v>
      </c>
      <c r="C79" s="29">
        <f>IF(OR(Client_Info!$D$14="",Client_Info!$D$15=""),"",IF(EOMONTH(Client_Info!$D$14,71)&lt;=Client_Info!$D$15,EOMONTH(Client_Info!$D$14,71),""))</f>
        <v>44561</v>
      </c>
      <c r="D79" s="142">
        <v>7.58</v>
      </c>
      <c r="E79" s="142">
        <v>8.65</v>
      </c>
      <c r="F79" s="142">
        <v>7.55</v>
      </c>
      <c r="G79" s="142">
        <v>5.94</v>
      </c>
      <c r="H79" s="142">
        <v>5.52</v>
      </c>
      <c r="I79" s="142">
        <v>-6.39</v>
      </c>
      <c r="J79" s="142">
        <v>-4.1100000000000003</v>
      </c>
      <c r="K79" s="142">
        <v>-1.1499999999999999</v>
      </c>
      <c r="L79" s="142">
        <v>-5.27</v>
      </c>
      <c r="M79" s="142">
        <v>5.51</v>
      </c>
      <c r="N79" s="142">
        <v>8.66</v>
      </c>
      <c r="O79" s="142">
        <v>1.78</v>
      </c>
      <c r="P79" s="142">
        <v>-1.74</v>
      </c>
      <c r="Q79" s="142">
        <v>-1.89</v>
      </c>
      <c r="R79" s="142">
        <v>-0.62</v>
      </c>
      <c r="S79" s="142">
        <v>0.49</v>
      </c>
      <c r="T79" s="142">
        <v>0.04</v>
      </c>
      <c r="U79" s="142">
        <v>1.1299999999999999</v>
      </c>
      <c r="V79" s="142">
        <v>0.24</v>
      </c>
      <c r="W79" s="142">
        <v>0.04</v>
      </c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120"/>
      <c r="BC79" s="25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</row>
    <row r="80" spans="1:200" ht="15" customHeight="1" x14ac:dyDescent="0.2">
      <c r="A80" s="2"/>
      <c r="B80" s="24" t="str">
        <f t="shared" si="2"/>
        <v>[ROW:JAN_2022]</v>
      </c>
      <c r="C80" s="29">
        <f>IF(OR(Client_Info!$D$14="",Client_Info!$D$15=""),"",IF(EOMONTH(Client_Info!$D$14,72)&lt;=Client_Info!$D$15,EOMONTH(Client_Info!$D$14,72),""))</f>
        <v>44592</v>
      </c>
      <c r="D80" s="142">
        <v>-5.19</v>
      </c>
      <c r="E80" s="142">
        <v>-3.82</v>
      </c>
      <c r="F80" s="142">
        <v>-4.82</v>
      </c>
      <c r="G80" s="142">
        <v>-8.19</v>
      </c>
      <c r="H80" s="142">
        <v>-5.35</v>
      </c>
      <c r="I80" s="142">
        <v>-3.01</v>
      </c>
      <c r="J80" s="142">
        <v>-2.65</v>
      </c>
      <c r="K80" s="142">
        <v>-1.9</v>
      </c>
      <c r="L80" s="142">
        <v>0.49</v>
      </c>
      <c r="M80" s="142">
        <v>2.61</v>
      </c>
      <c r="N80" s="142">
        <v>1.46</v>
      </c>
      <c r="O80" s="142">
        <v>3.63</v>
      </c>
      <c r="P80" s="142">
        <v>1.6</v>
      </c>
      <c r="Q80" s="142">
        <v>0.18</v>
      </c>
      <c r="R80" s="142">
        <v>-0.81</v>
      </c>
      <c r="S80" s="142">
        <v>2.04</v>
      </c>
      <c r="T80" s="142">
        <v>0.02</v>
      </c>
      <c r="U80" s="142">
        <v>-1.52</v>
      </c>
      <c r="V80" s="142">
        <v>-2.6</v>
      </c>
      <c r="W80" s="142">
        <v>0.01</v>
      </c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120"/>
      <c r="BC80" s="25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</row>
    <row r="81" spans="1:200" ht="15" customHeight="1" x14ac:dyDescent="0.2">
      <c r="A81" s="2"/>
      <c r="B81" s="24" t="str">
        <f t="shared" si="2"/>
        <v>[ROW:FEB_2022]</v>
      </c>
      <c r="C81" s="29">
        <f>IF(OR(Client_Info!$D$14="",Client_Info!$D$15=""),"",IF(EOMONTH(Client_Info!$D$14,73)&lt;=Client_Info!$D$15,EOMONTH(Client_Info!$D$14,73),""))</f>
        <v>44620</v>
      </c>
      <c r="D81" s="142">
        <v>-1.93</v>
      </c>
      <c r="E81" s="142">
        <v>-2.68</v>
      </c>
      <c r="F81" s="142">
        <v>-4.32</v>
      </c>
      <c r="G81" s="142">
        <v>0.11</v>
      </c>
      <c r="H81" s="142">
        <v>-2.42</v>
      </c>
      <c r="I81" s="142">
        <v>-5.87</v>
      </c>
      <c r="J81" s="142">
        <v>-1.72</v>
      </c>
      <c r="K81" s="142">
        <v>-3.88</v>
      </c>
      <c r="L81" s="142">
        <v>-2.46</v>
      </c>
      <c r="M81" s="142">
        <v>0.08</v>
      </c>
      <c r="N81" s="142">
        <v>0.84</v>
      </c>
      <c r="O81" s="142">
        <v>1.82</v>
      </c>
      <c r="P81" s="142">
        <v>-1.08</v>
      </c>
      <c r="Q81" s="142">
        <v>-2.48</v>
      </c>
      <c r="R81" s="142">
        <v>3.66</v>
      </c>
      <c r="S81" s="142">
        <v>1.6</v>
      </c>
      <c r="T81" s="142">
        <v>-1.74</v>
      </c>
      <c r="U81" s="142">
        <v>-2.82</v>
      </c>
      <c r="V81" s="142">
        <v>-4.07</v>
      </c>
      <c r="W81" s="142">
        <v>0.02</v>
      </c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120"/>
      <c r="BC81" s="25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</row>
    <row r="82" spans="1:200" ht="15" customHeight="1" x14ac:dyDescent="0.2">
      <c r="A82" s="2"/>
      <c r="B82" s="24" t="str">
        <f t="shared" si="2"/>
        <v>[ROW:MAR_2022]</v>
      </c>
      <c r="C82" s="29">
        <f>IF(OR(Client_Info!$D$14="",Client_Info!$D$15=""),"",IF(EOMONTH(Client_Info!$D$14,74)&lt;=Client_Info!$D$15,EOMONTH(Client_Info!$D$14,74),""))</f>
        <v>44651</v>
      </c>
      <c r="D82" s="142">
        <v>5.18</v>
      </c>
      <c r="E82" s="142">
        <v>3.94</v>
      </c>
      <c r="F82" s="142">
        <v>4.6900000000000004</v>
      </c>
      <c r="G82" s="142">
        <v>-0.32</v>
      </c>
      <c r="H82" s="142">
        <v>2.1800000000000002</v>
      </c>
      <c r="I82" s="142">
        <v>-1.44</v>
      </c>
      <c r="J82" s="142">
        <v>-2.4900000000000002</v>
      </c>
      <c r="K82" s="142">
        <v>-3.47</v>
      </c>
      <c r="L82" s="142">
        <v>-4.54</v>
      </c>
      <c r="M82" s="142">
        <v>-5.56</v>
      </c>
      <c r="N82" s="142">
        <v>-5.86</v>
      </c>
      <c r="O82" s="142">
        <v>-1.17</v>
      </c>
      <c r="P82" s="142">
        <v>0.22</v>
      </c>
      <c r="Q82" s="142">
        <v>8.48</v>
      </c>
      <c r="R82" s="142">
        <v>0.03</v>
      </c>
      <c r="S82" s="142">
        <v>-0.14000000000000001</v>
      </c>
      <c r="T82" s="142">
        <v>0.54</v>
      </c>
      <c r="U82" s="142">
        <v>-0.11</v>
      </c>
      <c r="V82" s="142">
        <v>0.1</v>
      </c>
      <c r="W82" s="142">
        <v>0.1</v>
      </c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120"/>
      <c r="BC82" s="25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</row>
    <row r="83" spans="1:200" ht="15" customHeight="1" x14ac:dyDescent="0.2">
      <c r="A83" s="2"/>
      <c r="B83" s="24" t="str">
        <f t="shared" si="2"/>
        <v>[ROW:APR_2022]</v>
      </c>
      <c r="C83" s="29">
        <f>IF(OR(Client_Info!$D$14="",Client_Info!$D$15=""),"",IF(EOMONTH(Client_Info!$D$14,75)&lt;=Client_Info!$D$15,EOMONTH(Client_Info!$D$14,75),""))</f>
        <v>44681</v>
      </c>
      <c r="D83" s="142">
        <v>-6.22</v>
      </c>
      <c r="E83" s="142">
        <v>-6.87</v>
      </c>
      <c r="F83" s="142">
        <v>-8.6199999999999992</v>
      </c>
      <c r="G83" s="142">
        <v>-6.07</v>
      </c>
      <c r="H83" s="142">
        <v>-6.78</v>
      </c>
      <c r="I83" s="142">
        <v>-4.83</v>
      </c>
      <c r="J83" s="142">
        <v>-7.77</v>
      </c>
      <c r="K83" s="142">
        <v>-6.95</v>
      </c>
      <c r="L83" s="142">
        <v>-4.5599999999999996</v>
      </c>
      <c r="M83" s="142">
        <v>9.2200000000000006</v>
      </c>
      <c r="N83" s="142">
        <v>9.9700000000000006</v>
      </c>
      <c r="O83" s="142">
        <v>-1.1399999999999999</v>
      </c>
      <c r="P83" s="142">
        <v>1.04</v>
      </c>
      <c r="Q83" s="142">
        <v>4.62</v>
      </c>
      <c r="R83" s="142">
        <v>0.78</v>
      </c>
      <c r="S83" s="142">
        <v>0.81</v>
      </c>
      <c r="T83" s="142">
        <v>0.2</v>
      </c>
      <c r="U83" s="142">
        <v>-1.5</v>
      </c>
      <c r="V83" s="142">
        <v>-0.88</v>
      </c>
      <c r="W83" s="142">
        <v>0.09</v>
      </c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120"/>
      <c r="BC83" s="25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</row>
    <row r="84" spans="1:200" ht="15" customHeight="1" x14ac:dyDescent="0.2">
      <c r="A84" s="2"/>
      <c r="B84" s="24" t="str">
        <f t="shared" si="2"/>
        <v>[ROW:MAY_2022]</v>
      </c>
      <c r="C84" s="29">
        <f>IF(OR(Client_Info!$D$14="",Client_Info!$D$15=""),"",IF(EOMONTH(Client_Info!$D$14,76)&lt;=Client_Info!$D$15,EOMONTH(Client_Info!$D$14,76),""))</f>
        <v>44712</v>
      </c>
      <c r="D84" s="142">
        <v>0.02</v>
      </c>
      <c r="E84" s="142">
        <v>0.3</v>
      </c>
      <c r="F84" s="142">
        <v>0.3</v>
      </c>
      <c r="G84" s="142">
        <v>-0.4</v>
      </c>
      <c r="H84" s="142">
        <v>-0.91</v>
      </c>
      <c r="I84" s="142">
        <v>0.28999999999999998</v>
      </c>
      <c r="J84" s="142">
        <v>-1.61</v>
      </c>
      <c r="K84" s="142">
        <v>0.3</v>
      </c>
      <c r="L84" s="142">
        <v>3.2</v>
      </c>
      <c r="M84" s="142">
        <v>6.33</v>
      </c>
      <c r="N84" s="142">
        <v>5.82</v>
      </c>
      <c r="O84" s="142">
        <v>2.23</v>
      </c>
      <c r="P84" s="142">
        <v>-1.07</v>
      </c>
      <c r="Q84" s="142">
        <v>0.15</v>
      </c>
      <c r="R84" s="142">
        <v>5.53</v>
      </c>
      <c r="S84" s="142">
        <v>-1.4</v>
      </c>
      <c r="T84" s="142">
        <v>2.23</v>
      </c>
      <c r="U84" s="142">
        <v>-1.5</v>
      </c>
      <c r="V84" s="142">
        <v>-1.1299999999999999</v>
      </c>
      <c r="W84" s="142">
        <v>0.14000000000000001</v>
      </c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120"/>
      <c r="BC84" s="25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</row>
    <row r="85" spans="1:200" ht="15" customHeight="1" x14ac:dyDescent="0.2">
      <c r="A85" s="2"/>
      <c r="B85" s="24" t="str">
        <f t="shared" si="2"/>
        <v>[ROW:JUN_2022]</v>
      </c>
      <c r="C85" s="29">
        <f>IF(OR(Client_Info!$D$14="",Client_Info!$D$15=""),"",IF(EOMONTH(Client_Info!$D$14,77)&lt;=Client_Info!$D$15,EOMONTH(Client_Info!$D$14,77),""))</f>
        <v>44742</v>
      </c>
      <c r="D85" s="142">
        <v>-4.07</v>
      </c>
      <c r="E85" s="142">
        <v>-4.63</v>
      </c>
      <c r="F85" s="142">
        <v>-5.31</v>
      </c>
      <c r="G85" s="142">
        <v>-6.02</v>
      </c>
      <c r="H85" s="142">
        <v>-4.9000000000000004</v>
      </c>
      <c r="I85" s="142">
        <v>-4.78</v>
      </c>
      <c r="J85" s="142">
        <v>6.34</v>
      </c>
      <c r="K85" s="142">
        <v>7.21</v>
      </c>
      <c r="L85" s="142">
        <v>9.18</v>
      </c>
      <c r="M85" s="142">
        <v>3.48</v>
      </c>
      <c r="N85" s="142">
        <v>5.58</v>
      </c>
      <c r="O85" s="142">
        <v>-1.25</v>
      </c>
      <c r="P85" s="142">
        <v>-1.71</v>
      </c>
      <c r="Q85" s="142">
        <v>3.74</v>
      </c>
      <c r="R85" s="142">
        <v>1.44</v>
      </c>
      <c r="S85" s="142">
        <v>-1.1200000000000001</v>
      </c>
      <c r="T85" s="142">
        <v>1.54</v>
      </c>
      <c r="U85" s="142">
        <v>-1.72</v>
      </c>
      <c r="V85" s="142">
        <v>-2.06</v>
      </c>
      <c r="W85" s="142">
        <v>0.14000000000000001</v>
      </c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120"/>
      <c r="BC85" s="25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</row>
    <row r="86" spans="1:200" ht="15" customHeight="1" x14ac:dyDescent="0.2">
      <c r="A86" s="2"/>
      <c r="B86" s="24" t="str">
        <f t="shared" si="2"/>
        <v>[ROW:JUL_2022]</v>
      </c>
      <c r="C86" s="29">
        <f>IF(OR(Client_Info!$D$14="",Client_Info!$D$15=""),"",IF(EOMONTH(Client_Info!$D$14,78)&lt;=Client_Info!$D$15,EOMONTH(Client_Info!$D$14,78),""))</f>
        <v>44773</v>
      </c>
      <c r="D86" s="142">
        <v>-10.78</v>
      </c>
      <c r="E86" s="142">
        <v>-9.0399999999999991</v>
      </c>
      <c r="F86" s="142">
        <v>-12.57</v>
      </c>
      <c r="G86" s="142">
        <v>-9.39</v>
      </c>
      <c r="H86" s="142">
        <v>-10.84</v>
      </c>
      <c r="I86" s="142">
        <v>-13.81</v>
      </c>
      <c r="J86" s="142">
        <v>9.67</v>
      </c>
      <c r="K86" s="142">
        <v>6.7</v>
      </c>
      <c r="L86" s="142">
        <v>11.99</v>
      </c>
      <c r="M86" s="142">
        <v>5.87</v>
      </c>
      <c r="N86" s="142">
        <v>2.91</v>
      </c>
      <c r="O86" s="142">
        <v>-0.24</v>
      </c>
      <c r="P86" s="142">
        <v>0.52</v>
      </c>
      <c r="Q86" s="142">
        <v>0.79</v>
      </c>
      <c r="R86" s="142">
        <v>0.75</v>
      </c>
      <c r="S86" s="142">
        <v>3.57</v>
      </c>
      <c r="T86" s="142">
        <v>-1.42</v>
      </c>
      <c r="U86" s="142">
        <v>-3.55</v>
      </c>
      <c r="V86" s="142">
        <v>-3.95</v>
      </c>
      <c r="W86" s="142">
        <v>0.17</v>
      </c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120"/>
      <c r="BC86" s="25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</row>
    <row r="87" spans="1:200" ht="15" customHeight="1" x14ac:dyDescent="0.2">
      <c r="A87" s="2"/>
      <c r="B87" s="24" t="str">
        <f t="shared" si="2"/>
        <v>[ROW:AUG_2022]</v>
      </c>
      <c r="C87" s="29">
        <f>IF(OR(Client_Info!$D$14="",Client_Info!$D$15=""),"",IF(EOMONTH(Client_Info!$D$14,79)&lt;=Client_Info!$D$15,EOMONTH(Client_Info!$D$14,79),""))</f>
        <v>44804</v>
      </c>
      <c r="D87" s="142">
        <v>-5.26</v>
      </c>
      <c r="E87" s="142">
        <v>-5.4</v>
      </c>
      <c r="F87" s="142">
        <v>-4.6500000000000004</v>
      </c>
      <c r="G87" s="142">
        <v>-2.12</v>
      </c>
      <c r="H87" s="142">
        <v>-2.63</v>
      </c>
      <c r="I87" s="142">
        <v>-1.87</v>
      </c>
      <c r="J87" s="142">
        <v>6.01</v>
      </c>
      <c r="K87" s="142">
        <v>7</v>
      </c>
      <c r="L87" s="142">
        <v>6.46</v>
      </c>
      <c r="M87" s="142">
        <v>-0.27</v>
      </c>
      <c r="N87" s="142">
        <v>1.56</v>
      </c>
      <c r="O87" s="142">
        <v>1.44</v>
      </c>
      <c r="P87" s="142">
        <v>2.85</v>
      </c>
      <c r="Q87" s="142">
        <v>0.51</v>
      </c>
      <c r="R87" s="142">
        <v>-1.83</v>
      </c>
      <c r="S87" s="142">
        <v>-0.59</v>
      </c>
      <c r="T87" s="142">
        <v>1.89</v>
      </c>
      <c r="U87" s="142">
        <v>-2.48</v>
      </c>
      <c r="V87" s="142">
        <v>-2.83</v>
      </c>
      <c r="W87" s="142">
        <v>0.22</v>
      </c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120"/>
      <c r="BC87" s="25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</row>
    <row r="88" spans="1:200" ht="15" customHeight="1" x14ac:dyDescent="0.2">
      <c r="A88" s="2"/>
      <c r="B88" s="24" t="str">
        <f t="shared" si="2"/>
        <v>[ROW:SEP_2022]</v>
      </c>
      <c r="C88" s="29">
        <f>IF(OR(Client_Info!$D$14="",Client_Info!$D$15=""),"",IF(EOMONTH(Client_Info!$D$14,80)&lt;=Client_Info!$D$15,EOMONTH(Client_Info!$D$14,80),""))</f>
        <v>44834</v>
      </c>
      <c r="D88" s="142">
        <v>9.2799999999999994</v>
      </c>
      <c r="E88" s="142">
        <v>7.61</v>
      </c>
      <c r="F88" s="142">
        <v>11.61</v>
      </c>
      <c r="G88" s="142">
        <v>6.21</v>
      </c>
      <c r="H88" s="142">
        <v>4.92</v>
      </c>
      <c r="I88" s="142">
        <v>3.25</v>
      </c>
      <c r="J88" s="142">
        <v>0.26</v>
      </c>
      <c r="K88" s="142">
        <v>6.28</v>
      </c>
      <c r="L88" s="142">
        <v>4.0199999999999996</v>
      </c>
      <c r="M88" s="142">
        <v>2.16</v>
      </c>
      <c r="N88" s="142">
        <v>8.1999999999999993</v>
      </c>
      <c r="O88" s="142">
        <v>2.16</v>
      </c>
      <c r="P88" s="142">
        <v>3.86</v>
      </c>
      <c r="Q88" s="142">
        <v>-4.7699999999999996</v>
      </c>
      <c r="R88" s="142">
        <v>1.1499999999999999</v>
      </c>
      <c r="S88" s="142">
        <v>-2.35</v>
      </c>
      <c r="T88" s="142">
        <v>0.83</v>
      </c>
      <c r="U88" s="142">
        <v>3.85</v>
      </c>
      <c r="V88" s="142">
        <v>3.18</v>
      </c>
      <c r="W88" s="142">
        <v>0.25</v>
      </c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120"/>
      <c r="BC88" s="25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</row>
    <row r="89" spans="1:200" ht="15" customHeight="1" x14ac:dyDescent="0.2">
      <c r="A89" s="2"/>
      <c r="B89" s="24" t="str">
        <f t="shared" si="2"/>
        <v>[ROW:OCT_2022]</v>
      </c>
      <c r="C89" s="29">
        <f>IF(OR(Client_Info!$D$14="",Client_Info!$D$15=""),"",IF(EOMONTH(Client_Info!$D$14,81)&lt;=Client_Info!$D$15,EOMONTH(Client_Info!$D$14,81),""))</f>
        <v>44865</v>
      </c>
      <c r="D89" s="142">
        <v>4.58</v>
      </c>
      <c r="E89" s="142">
        <v>2.67</v>
      </c>
      <c r="F89" s="142">
        <v>3.8</v>
      </c>
      <c r="G89" s="142">
        <v>3.66</v>
      </c>
      <c r="H89" s="142">
        <v>1.5</v>
      </c>
      <c r="I89" s="142">
        <v>3.1</v>
      </c>
      <c r="J89" s="142">
        <v>-0.48</v>
      </c>
      <c r="K89" s="142">
        <v>-2.33</v>
      </c>
      <c r="L89" s="142">
        <v>-4.7</v>
      </c>
      <c r="M89" s="142">
        <v>-0.83</v>
      </c>
      <c r="N89" s="142">
        <v>0.92</v>
      </c>
      <c r="O89" s="142">
        <v>0.01</v>
      </c>
      <c r="P89" s="142">
        <v>2.0099999999999998</v>
      </c>
      <c r="Q89" s="142">
        <v>4.9800000000000004</v>
      </c>
      <c r="R89" s="142">
        <v>-0.77</v>
      </c>
      <c r="S89" s="142">
        <v>0.78</v>
      </c>
      <c r="T89" s="142">
        <v>-0.09</v>
      </c>
      <c r="U89" s="142">
        <v>1.2</v>
      </c>
      <c r="V89" s="142">
        <v>1.57</v>
      </c>
      <c r="W89" s="142">
        <v>0.28999999999999998</v>
      </c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120"/>
      <c r="BC89" s="25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</row>
    <row r="90" spans="1:200" ht="15" customHeight="1" x14ac:dyDescent="0.2">
      <c r="A90" s="2"/>
      <c r="B90" s="24" t="str">
        <f t="shared" si="2"/>
        <v>[ROW:NOV_2022]</v>
      </c>
      <c r="C90" s="29">
        <f>IF(OR(Client_Info!$D$14="",Client_Info!$D$15=""),"",IF(EOMONTH(Client_Info!$D$14,82)&lt;=Client_Info!$D$15,EOMONTH(Client_Info!$D$14,82),""))</f>
        <v>44895</v>
      </c>
      <c r="D90" s="142">
        <v>6.14</v>
      </c>
      <c r="E90" s="142">
        <v>7.12</v>
      </c>
      <c r="F90" s="142">
        <v>7.5</v>
      </c>
      <c r="G90" s="142">
        <v>-0.44</v>
      </c>
      <c r="H90" s="142">
        <v>-4.3899999999999997</v>
      </c>
      <c r="I90" s="142">
        <v>-7.08</v>
      </c>
      <c r="J90" s="142">
        <v>-2</v>
      </c>
      <c r="K90" s="142">
        <v>-2.4700000000000002</v>
      </c>
      <c r="L90" s="142">
        <v>2.0099999999999998</v>
      </c>
      <c r="M90" s="142">
        <v>-0.82</v>
      </c>
      <c r="N90" s="142">
        <v>-6.61</v>
      </c>
      <c r="O90" s="142">
        <v>1.1200000000000001</v>
      </c>
      <c r="P90" s="142">
        <v>1.77</v>
      </c>
      <c r="Q90" s="142">
        <v>-2.21</v>
      </c>
      <c r="R90" s="142">
        <v>-1.35</v>
      </c>
      <c r="S90" s="142">
        <v>2.38</v>
      </c>
      <c r="T90" s="142">
        <v>-0.69</v>
      </c>
      <c r="U90" s="142">
        <v>0.19</v>
      </c>
      <c r="V90" s="142">
        <v>-0.56999999999999995</v>
      </c>
      <c r="W90" s="142">
        <v>0.3</v>
      </c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120"/>
      <c r="BC90" s="25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</row>
    <row r="91" spans="1:200" ht="15" customHeight="1" x14ac:dyDescent="0.2">
      <c r="A91" s="2"/>
      <c r="B91" s="24" t="str">
        <f t="shared" si="2"/>
        <v>[ROW:DEC_2022]</v>
      </c>
      <c r="C91" s="29">
        <f>IF(OR(Client_Info!$D$14="",Client_Info!$D$15=""),"",IF(EOMONTH(Client_Info!$D$14,83)&lt;=Client_Info!$D$15,EOMONTH(Client_Info!$D$14,83),""))</f>
        <v>44926</v>
      </c>
      <c r="D91" s="142">
        <v>-1.76</v>
      </c>
      <c r="E91" s="142">
        <v>-1.1100000000000001</v>
      </c>
      <c r="F91" s="142">
        <v>-1.5</v>
      </c>
      <c r="G91" s="142">
        <v>7.23</v>
      </c>
      <c r="H91" s="142">
        <v>10.039999999999999</v>
      </c>
      <c r="I91" s="142">
        <v>-0.78</v>
      </c>
      <c r="J91" s="142">
        <v>-1.49</v>
      </c>
      <c r="K91" s="142">
        <v>2.67</v>
      </c>
      <c r="L91" s="142">
        <v>-1.87</v>
      </c>
      <c r="M91" s="142">
        <v>-3.66</v>
      </c>
      <c r="N91" s="142">
        <v>-4.9800000000000004</v>
      </c>
      <c r="O91" s="142">
        <v>1.38</v>
      </c>
      <c r="P91" s="142">
        <v>1.27</v>
      </c>
      <c r="Q91" s="142">
        <v>-0.3</v>
      </c>
      <c r="R91" s="142">
        <v>3.96</v>
      </c>
      <c r="S91" s="142">
        <v>2.92</v>
      </c>
      <c r="T91" s="142">
        <v>-0.34</v>
      </c>
      <c r="U91" s="142">
        <v>-2.2999999999999998</v>
      </c>
      <c r="V91" s="142">
        <v>-1.4</v>
      </c>
      <c r="W91" s="142">
        <v>0.28000000000000003</v>
      </c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120"/>
      <c r="BC91" s="25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</row>
    <row r="92" spans="1:200" ht="15" customHeight="1" x14ac:dyDescent="0.2">
      <c r="A92" s="2"/>
      <c r="B92" s="24" t="str">
        <f t="shared" si="2"/>
        <v>[ROW:JAN_2023]</v>
      </c>
      <c r="C92" s="29">
        <f>IF(OR(Client_Info!$D$14="",Client_Info!$D$15=""),"",IF(EOMONTH(Client_Info!$D$14,84)&lt;=Client_Info!$D$15,EOMONTH(Client_Info!$D$14,84),""))</f>
        <v>44957</v>
      </c>
      <c r="D92" s="142">
        <v>-2.36</v>
      </c>
      <c r="E92" s="142">
        <v>-4.47</v>
      </c>
      <c r="F92" s="142">
        <v>-2.34</v>
      </c>
      <c r="G92" s="142">
        <v>-1.62</v>
      </c>
      <c r="H92" s="142">
        <v>-4.24</v>
      </c>
      <c r="I92" s="142">
        <v>-6.78</v>
      </c>
      <c r="J92" s="142">
        <v>-1.68</v>
      </c>
      <c r="K92" s="142">
        <v>2.2000000000000002</v>
      </c>
      <c r="L92" s="142">
        <v>-0.24</v>
      </c>
      <c r="M92" s="142">
        <v>2.48</v>
      </c>
      <c r="N92" s="142">
        <v>-2.2000000000000002</v>
      </c>
      <c r="O92" s="142">
        <v>0.99</v>
      </c>
      <c r="P92" s="142">
        <v>2.84</v>
      </c>
      <c r="Q92" s="142">
        <v>4.32</v>
      </c>
      <c r="R92" s="142">
        <v>0.61</v>
      </c>
      <c r="S92" s="142">
        <v>2.59</v>
      </c>
      <c r="T92" s="142">
        <v>-0.57999999999999996</v>
      </c>
      <c r="U92" s="142">
        <v>-0.15</v>
      </c>
      <c r="V92" s="142">
        <v>0.53</v>
      </c>
      <c r="W92" s="142">
        <v>0.32</v>
      </c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120"/>
      <c r="BC92" s="25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</row>
    <row r="93" spans="1:200" ht="15" customHeight="1" x14ac:dyDescent="0.2">
      <c r="A93" s="2"/>
      <c r="B93" s="24" t="str">
        <f t="shared" si="2"/>
        <v>[ROW:FEB_2023]</v>
      </c>
      <c r="C93" s="29">
        <f>IF(OR(Client_Info!$D$14="",Client_Info!$D$15=""),"",IF(EOMONTH(Client_Info!$D$14,85)&lt;=Client_Info!$D$15,EOMONTH(Client_Info!$D$14,85),""))</f>
        <v>44985</v>
      </c>
      <c r="D93" s="142">
        <v>-0.68</v>
      </c>
      <c r="E93" s="142">
        <v>-1.19</v>
      </c>
      <c r="F93" s="142">
        <v>-0.26</v>
      </c>
      <c r="G93" s="142">
        <v>-4.2</v>
      </c>
      <c r="H93" s="142">
        <v>-2.9</v>
      </c>
      <c r="I93" s="142">
        <v>5.51</v>
      </c>
      <c r="J93" s="142">
        <v>1.22</v>
      </c>
      <c r="K93" s="142">
        <v>1.5</v>
      </c>
      <c r="L93" s="142">
        <v>-0.76</v>
      </c>
      <c r="M93" s="142">
        <v>-0.61</v>
      </c>
      <c r="N93" s="142">
        <v>0.71</v>
      </c>
      <c r="O93" s="142">
        <v>-1.83</v>
      </c>
      <c r="P93" s="142">
        <v>2.73</v>
      </c>
      <c r="Q93" s="142">
        <v>4.41</v>
      </c>
      <c r="R93" s="142">
        <v>-1.65</v>
      </c>
      <c r="S93" s="142">
        <v>-1.62</v>
      </c>
      <c r="T93" s="142">
        <v>2.33</v>
      </c>
      <c r="U93" s="142">
        <v>-0.87</v>
      </c>
      <c r="V93" s="142">
        <v>-0.94</v>
      </c>
      <c r="W93" s="142">
        <v>0.37</v>
      </c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120"/>
      <c r="BC93" s="25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</row>
    <row r="94" spans="1:200" ht="15" customHeight="1" x14ac:dyDescent="0.2">
      <c r="A94" s="2"/>
      <c r="B94" s="24" t="str">
        <f t="shared" si="2"/>
        <v>[ROW:MAR_2023]</v>
      </c>
      <c r="C94" s="29">
        <f>IF(OR(Client_Info!$D$14="",Client_Info!$D$15=""),"",IF(EOMONTH(Client_Info!$D$14,86)&lt;=Client_Info!$D$15,EOMONTH(Client_Info!$D$14,86),""))</f>
        <v>45016</v>
      </c>
      <c r="D94" s="142">
        <v>4.2</v>
      </c>
      <c r="E94" s="142">
        <v>5.2</v>
      </c>
      <c r="F94" s="142">
        <v>3.38</v>
      </c>
      <c r="G94" s="142">
        <v>4.2300000000000004</v>
      </c>
      <c r="H94" s="142">
        <v>4.5999999999999996</v>
      </c>
      <c r="I94" s="142">
        <v>2.14</v>
      </c>
      <c r="J94" s="142">
        <v>0.03</v>
      </c>
      <c r="K94" s="142">
        <v>2.5</v>
      </c>
      <c r="L94" s="142">
        <v>-0.2</v>
      </c>
      <c r="M94" s="142">
        <v>2.4500000000000002</v>
      </c>
      <c r="N94" s="142">
        <v>0.73</v>
      </c>
      <c r="O94" s="142">
        <v>-0.83</v>
      </c>
      <c r="P94" s="142">
        <v>1.0900000000000001</v>
      </c>
      <c r="Q94" s="142">
        <v>3.75</v>
      </c>
      <c r="R94" s="142">
        <v>-2.27</v>
      </c>
      <c r="S94" s="142">
        <v>1.28</v>
      </c>
      <c r="T94" s="142">
        <v>2.83</v>
      </c>
      <c r="U94" s="142">
        <v>3.17</v>
      </c>
      <c r="V94" s="142">
        <v>3.19</v>
      </c>
      <c r="W94" s="142">
        <v>0.34</v>
      </c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120"/>
      <c r="BC94" s="25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</row>
    <row r="95" spans="1:200" ht="15" customHeight="1" x14ac:dyDescent="0.2">
      <c r="A95" s="2"/>
      <c r="B95" s="24" t="str">
        <f t="shared" si="2"/>
        <v>[ROW:APR_2023]</v>
      </c>
      <c r="C95" s="29">
        <f>IF(OR(Client_Info!$D$14="",Client_Info!$D$15=""),"",IF(EOMONTH(Client_Info!$D$14,87)&lt;=Client_Info!$D$15,EOMONTH(Client_Info!$D$14,87),""))</f>
        <v>45046</v>
      </c>
      <c r="D95" s="142">
        <v>3.08</v>
      </c>
      <c r="E95" s="142">
        <v>1.95</v>
      </c>
      <c r="F95" s="142">
        <v>4.16</v>
      </c>
      <c r="G95" s="142">
        <v>2.25</v>
      </c>
      <c r="H95" s="142">
        <v>1.93</v>
      </c>
      <c r="I95" s="142">
        <v>-4.16</v>
      </c>
      <c r="J95" s="142">
        <v>-2.95</v>
      </c>
      <c r="K95" s="142">
        <v>2.76</v>
      </c>
      <c r="L95" s="142">
        <v>-0.91</v>
      </c>
      <c r="M95" s="142">
        <v>-0.01</v>
      </c>
      <c r="N95" s="142">
        <v>5.36</v>
      </c>
      <c r="O95" s="142">
        <v>2.1</v>
      </c>
      <c r="P95" s="142">
        <v>0.18</v>
      </c>
      <c r="Q95" s="142">
        <v>0.66</v>
      </c>
      <c r="R95" s="142">
        <v>3.01</v>
      </c>
      <c r="S95" s="142">
        <v>2.93</v>
      </c>
      <c r="T95" s="142">
        <v>0.7</v>
      </c>
      <c r="U95" s="142">
        <v>0.25</v>
      </c>
      <c r="V95" s="142">
        <v>1.7</v>
      </c>
      <c r="W95" s="142">
        <v>0.36</v>
      </c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120"/>
      <c r="BC95" s="25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</row>
    <row r="96" spans="1:200" ht="15" customHeight="1" x14ac:dyDescent="0.2">
      <c r="A96" s="2"/>
      <c r="B96" s="24" t="str">
        <f t="shared" si="2"/>
        <v>[ROW:MAY_2023]</v>
      </c>
      <c r="C96" s="29">
        <f>IF(OR(Client_Info!$D$14="",Client_Info!$D$15=""),"",IF(EOMONTH(Client_Info!$D$14,88)&lt;=Client_Info!$D$15,EOMONTH(Client_Info!$D$14,88),""))</f>
        <v>45077</v>
      </c>
      <c r="D96" s="142">
        <v>-1.67</v>
      </c>
      <c r="E96" s="142">
        <v>-0.49</v>
      </c>
      <c r="F96" s="142">
        <v>-0.14000000000000001</v>
      </c>
      <c r="G96" s="142">
        <v>2.89</v>
      </c>
      <c r="H96" s="142">
        <v>1.85</v>
      </c>
      <c r="I96" s="142">
        <v>-1.84</v>
      </c>
      <c r="J96" s="142">
        <v>4.9400000000000004</v>
      </c>
      <c r="K96" s="142">
        <v>2.27</v>
      </c>
      <c r="L96" s="142">
        <v>2.08</v>
      </c>
      <c r="M96" s="142">
        <v>-0.63</v>
      </c>
      <c r="N96" s="142">
        <v>-2.63</v>
      </c>
      <c r="O96" s="142">
        <v>3.56</v>
      </c>
      <c r="P96" s="142">
        <v>2.21</v>
      </c>
      <c r="Q96" s="142">
        <v>1.45</v>
      </c>
      <c r="R96" s="142">
        <v>-1</v>
      </c>
      <c r="S96" s="142">
        <v>1.47</v>
      </c>
      <c r="T96" s="142">
        <v>0.63</v>
      </c>
      <c r="U96" s="142">
        <v>-0.12</v>
      </c>
      <c r="V96" s="142">
        <v>0.36</v>
      </c>
      <c r="W96" s="142">
        <v>0.4</v>
      </c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120"/>
      <c r="BC96" s="25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</row>
    <row r="97" spans="1:200" ht="15" customHeight="1" x14ac:dyDescent="0.2">
      <c r="A97" s="2"/>
      <c r="B97" s="24" t="str">
        <f t="shared" si="2"/>
        <v>[ROW:JUN_2023]</v>
      </c>
      <c r="C97" s="29">
        <f>IF(OR(Client_Info!$D$14="",Client_Info!$D$15=""),"",IF(EOMONTH(Client_Info!$D$14,89)&lt;=Client_Info!$D$15,EOMONTH(Client_Info!$D$14,89),""))</f>
        <v>45107</v>
      </c>
      <c r="D97" s="142">
        <v>3.37</v>
      </c>
      <c r="E97" s="142">
        <v>5.27</v>
      </c>
      <c r="F97" s="142">
        <v>4.38</v>
      </c>
      <c r="G97" s="142">
        <v>4.1900000000000004</v>
      </c>
      <c r="H97" s="142">
        <v>4.25</v>
      </c>
      <c r="I97" s="142">
        <v>-7.48</v>
      </c>
      <c r="J97" s="142">
        <v>5.2</v>
      </c>
      <c r="K97" s="142">
        <v>2.25</v>
      </c>
      <c r="L97" s="142">
        <v>1.82</v>
      </c>
      <c r="M97" s="142">
        <v>0.31</v>
      </c>
      <c r="N97" s="142">
        <v>-0.47</v>
      </c>
      <c r="O97" s="142">
        <v>1.1499999999999999</v>
      </c>
      <c r="P97" s="142">
        <v>2.92</v>
      </c>
      <c r="Q97" s="142">
        <v>2</v>
      </c>
      <c r="R97" s="142">
        <v>-1.84</v>
      </c>
      <c r="S97" s="142">
        <v>-0.08</v>
      </c>
      <c r="T97" s="142">
        <v>0.03</v>
      </c>
      <c r="U97" s="142">
        <v>0.96</v>
      </c>
      <c r="V97" s="142">
        <v>1.1399999999999999</v>
      </c>
      <c r="W97" s="142">
        <v>0.36</v>
      </c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120"/>
      <c r="BC97" s="25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</row>
    <row r="98" spans="1:200" ht="15" customHeight="1" x14ac:dyDescent="0.2">
      <c r="A98" s="2"/>
      <c r="B98" s="24" t="str">
        <f t="shared" si="2"/>
        <v>[ROW:JUL_2023]</v>
      </c>
      <c r="C98" s="29">
        <f>IF(OR(Client_Info!$D$14="",Client_Info!$D$15=""),"",IF(EOMONTH(Client_Info!$D$14,90)&lt;=Client_Info!$D$15,EOMONTH(Client_Info!$D$14,90),""))</f>
        <v>45138</v>
      </c>
      <c r="D98" s="142">
        <v>2.2200000000000002</v>
      </c>
      <c r="E98" s="142">
        <v>0.28000000000000003</v>
      </c>
      <c r="F98" s="142">
        <v>2.1800000000000002</v>
      </c>
      <c r="G98" s="142">
        <v>0.39</v>
      </c>
      <c r="H98" s="142">
        <v>0.25</v>
      </c>
      <c r="I98" s="142">
        <v>0.45</v>
      </c>
      <c r="J98" s="142">
        <v>3.41</v>
      </c>
      <c r="K98" s="142">
        <v>4.01</v>
      </c>
      <c r="L98" s="142">
        <v>1.0900000000000001</v>
      </c>
      <c r="M98" s="142">
        <v>-6.34</v>
      </c>
      <c r="N98" s="142">
        <v>-7.62</v>
      </c>
      <c r="O98" s="142">
        <v>1.43</v>
      </c>
      <c r="P98" s="142">
        <v>2.97</v>
      </c>
      <c r="Q98" s="142">
        <v>1.68</v>
      </c>
      <c r="R98" s="142">
        <v>0.83</v>
      </c>
      <c r="S98" s="142">
        <v>2.99</v>
      </c>
      <c r="T98" s="142">
        <v>-7.0000000000000007E-2</v>
      </c>
      <c r="U98" s="142">
        <v>0.59</v>
      </c>
      <c r="V98" s="142">
        <v>-0.1</v>
      </c>
      <c r="W98" s="142">
        <v>0.35</v>
      </c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120"/>
      <c r="BC98" s="25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</row>
    <row r="99" spans="1:200" ht="15" customHeight="1" x14ac:dyDescent="0.2">
      <c r="A99" s="2"/>
      <c r="B99" s="24" t="str">
        <f t="shared" si="2"/>
        <v>[ROW:AUG_2023]</v>
      </c>
      <c r="C99" s="29">
        <f>IF(OR(Client_Info!$D$14="",Client_Info!$D$15=""),"",IF(EOMONTH(Client_Info!$D$14,91)&lt;=Client_Info!$D$15,EOMONTH(Client_Info!$D$14,91),""))</f>
        <v>45169</v>
      </c>
      <c r="D99" s="142">
        <v>5.37</v>
      </c>
      <c r="E99" s="142">
        <v>4.96</v>
      </c>
      <c r="F99" s="142">
        <v>5.35</v>
      </c>
      <c r="G99" s="142">
        <v>-1.3</v>
      </c>
      <c r="H99" s="142">
        <v>-3.72</v>
      </c>
      <c r="I99" s="142">
        <v>4.76</v>
      </c>
      <c r="J99" s="142">
        <v>0.83</v>
      </c>
      <c r="K99" s="142">
        <v>5.19</v>
      </c>
      <c r="L99" s="142">
        <v>4.4000000000000004</v>
      </c>
      <c r="M99" s="142">
        <v>1.31</v>
      </c>
      <c r="N99" s="142">
        <v>3.64</v>
      </c>
      <c r="O99" s="142">
        <v>1.52</v>
      </c>
      <c r="P99" s="142">
        <v>0.87</v>
      </c>
      <c r="Q99" s="142">
        <v>-0.77</v>
      </c>
      <c r="R99" s="142">
        <v>6.8</v>
      </c>
      <c r="S99" s="142">
        <v>2.23</v>
      </c>
      <c r="T99" s="142">
        <v>-1.05</v>
      </c>
      <c r="U99" s="142">
        <v>2.87</v>
      </c>
      <c r="V99" s="142">
        <v>2.34</v>
      </c>
      <c r="W99" s="142">
        <v>0.4</v>
      </c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120"/>
      <c r="BC99" s="25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</row>
    <row r="100" spans="1:200" ht="15" customHeight="1" x14ac:dyDescent="0.2">
      <c r="A100" s="2"/>
      <c r="B100" s="24" t="str">
        <f t="shared" si="2"/>
        <v>[ROW:SEP_2023]</v>
      </c>
      <c r="C100" s="29">
        <f>IF(OR(Client_Info!$D$14="",Client_Info!$D$15=""),"",IF(EOMONTH(Client_Info!$D$14,92)&lt;=Client_Info!$D$15,EOMONTH(Client_Info!$D$14,92),""))</f>
        <v>45199</v>
      </c>
      <c r="D100" s="142">
        <v>-2.38</v>
      </c>
      <c r="E100" s="142">
        <v>-2.34</v>
      </c>
      <c r="F100" s="142">
        <v>-0.94</v>
      </c>
      <c r="G100" s="142">
        <v>-0.79</v>
      </c>
      <c r="H100" s="142">
        <v>0.93</v>
      </c>
      <c r="I100" s="142">
        <v>-5.04</v>
      </c>
      <c r="J100" s="142">
        <v>0.14000000000000001</v>
      </c>
      <c r="K100" s="142">
        <v>1.26</v>
      </c>
      <c r="L100" s="142">
        <v>-1.83</v>
      </c>
      <c r="M100" s="142">
        <v>2.84</v>
      </c>
      <c r="N100" s="142">
        <v>5.96</v>
      </c>
      <c r="O100" s="142">
        <v>0.96</v>
      </c>
      <c r="P100" s="142">
        <v>2.87</v>
      </c>
      <c r="Q100" s="142">
        <v>0.77</v>
      </c>
      <c r="R100" s="142">
        <v>1.04</v>
      </c>
      <c r="S100" s="142">
        <v>2.52</v>
      </c>
      <c r="T100" s="142">
        <v>0.26</v>
      </c>
      <c r="U100" s="142">
        <v>-0.08</v>
      </c>
      <c r="V100" s="142">
        <v>-0.18</v>
      </c>
      <c r="W100" s="142">
        <v>0.4</v>
      </c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120"/>
      <c r="BC100" s="25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</row>
    <row r="101" spans="1:200" ht="15" customHeight="1" x14ac:dyDescent="0.2">
      <c r="A101" s="2"/>
      <c r="B101" s="24" t="str">
        <f t="shared" si="2"/>
        <v>[ROW:OCT_2023]</v>
      </c>
      <c r="C101" s="29">
        <f>IF(OR(Client_Info!$D$14="",Client_Info!$D$15=""),"",IF(EOMONTH(Client_Info!$D$14,93)&lt;=Client_Info!$D$15,EOMONTH(Client_Info!$D$14,93),""))</f>
        <v>45230</v>
      </c>
      <c r="D101" s="142">
        <v>-0.38</v>
      </c>
      <c r="E101" s="142">
        <v>-0.95</v>
      </c>
      <c r="F101" s="142">
        <v>0.56000000000000005</v>
      </c>
      <c r="G101" s="142">
        <v>-2.17</v>
      </c>
      <c r="H101" s="142">
        <v>-1.77</v>
      </c>
      <c r="I101" s="142">
        <v>5.49</v>
      </c>
      <c r="J101" s="142">
        <v>2.44</v>
      </c>
      <c r="K101" s="142">
        <v>1.1399999999999999</v>
      </c>
      <c r="L101" s="142">
        <v>2.81</v>
      </c>
      <c r="M101" s="142">
        <v>11.22</v>
      </c>
      <c r="N101" s="142">
        <v>6.43</v>
      </c>
      <c r="O101" s="142">
        <v>-7.0000000000000007E-2</v>
      </c>
      <c r="P101" s="142">
        <v>1.89</v>
      </c>
      <c r="Q101" s="142">
        <v>-0.37</v>
      </c>
      <c r="R101" s="142">
        <v>2.3199999999999998</v>
      </c>
      <c r="S101" s="142">
        <v>4.8</v>
      </c>
      <c r="T101" s="142">
        <v>0.54</v>
      </c>
      <c r="U101" s="142">
        <v>0.8</v>
      </c>
      <c r="V101" s="142">
        <v>0.61</v>
      </c>
      <c r="W101" s="142">
        <v>0.39</v>
      </c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120"/>
      <c r="BC101" s="25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</row>
    <row r="102" spans="1:200" ht="15" customHeight="1" x14ac:dyDescent="0.2">
      <c r="A102" s="2"/>
      <c r="B102" s="24" t="str">
        <f t="shared" si="2"/>
        <v>[ROW:NOV_2023]</v>
      </c>
      <c r="C102" s="29">
        <f>IF(OR(Client_Info!$D$14="",Client_Info!$D$15=""),"",IF(EOMONTH(Client_Info!$D$14,94)&lt;=Client_Info!$D$15,EOMONTH(Client_Info!$D$14,94),""))</f>
        <v>45260</v>
      </c>
      <c r="D102" s="142">
        <v>-0.63</v>
      </c>
      <c r="E102" s="142">
        <v>0.01</v>
      </c>
      <c r="F102" s="142">
        <v>-1.08</v>
      </c>
      <c r="G102" s="142">
        <v>3.08</v>
      </c>
      <c r="H102" s="142">
        <v>5.53</v>
      </c>
      <c r="I102" s="142">
        <v>-3.78</v>
      </c>
      <c r="J102" s="142">
        <v>4.3899999999999997</v>
      </c>
      <c r="K102" s="142">
        <v>6.17</v>
      </c>
      <c r="L102" s="142">
        <v>5.73</v>
      </c>
      <c r="M102" s="142">
        <v>6.51</v>
      </c>
      <c r="N102" s="142">
        <v>0.39</v>
      </c>
      <c r="O102" s="142">
        <v>2.0699999999999998</v>
      </c>
      <c r="P102" s="142">
        <v>1.3</v>
      </c>
      <c r="Q102" s="142">
        <v>-6.07</v>
      </c>
      <c r="R102" s="142">
        <v>-1.1100000000000001</v>
      </c>
      <c r="S102" s="142">
        <v>0.54</v>
      </c>
      <c r="T102" s="142">
        <v>-1.01</v>
      </c>
      <c r="U102" s="142">
        <v>-0.57999999999999996</v>
      </c>
      <c r="V102" s="142">
        <v>-1.17</v>
      </c>
      <c r="W102" s="142">
        <v>0.43</v>
      </c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120"/>
      <c r="BC102" s="25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</row>
    <row r="103" spans="1:200" ht="15" customHeight="1" x14ac:dyDescent="0.2">
      <c r="A103" s="2"/>
      <c r="B103" s="24" t="str">
        <f t="shared" si="2"/>
        <v>[ROW:DEC_2023]</v>
      </c>
      <c r="C103" s="29">
        <f>IF(OR(Client_Info!$D$14="",Client_Info!$D$15=""),"",IF(EOMONTH(Client_Info!$D$14,95)&lt;=Client_Info!$D$15,EOMONTH(Client_Info!$D$14,95),""))</f>
        <v>45291</v>
      </c>
      <c r="D103" s="142">
        <v>-5.6</v>
      </c>
      <c r="E103" s="142">
        <v>-5.19</v>
      </c>
      <c r="F103" s="142">
        <v>-6.04</v>
      </c>
      <c r="G103" s="142">
        <v>0.41</v>
      </c>
      <c r="H103" s="142">
        <v>1.33</v>
      </c>
      <c r="I103" s="142">
        <v>-2.15</v>
      </c>
      <c r="J103" s="142">
        <v>2.75</v>
      </c>
      <c r="K103" s="142">
        <v>0.78</v>
      </c>
      <c r="L103" s="142">
        <v>0.47</v>
      </c>
      <c r="M103" s="142">
        <v>-2.12</v>
      </c>
      <c r="N103" s="142">
        <v>1.5</v>
      </c>
      <c r="O103" s="142">
        <v>2.19</v>
      </c>
      <c r="P103" s="142">
        <v>-1.52</v>
      </c>
      <c r="Q103" s="142">
        <v>3.66</v>
      </c>
      <c r="R103" s="142">
        <v>0.83</v>
      </c>
      <c r="S103" s="142">
        <v>1.43</v>
      </c>
      <c r="T103" s="142">
        <v>-2.77</v>
      </c>
      <c r="U103" s="142">
        <v>-1.1100000000000001</v>
      </c>
      <c r="V103" s="142">
        <v>-1.1299999999999999</v>
      </c>
      <c r="W103" s="142">
        <v>0.46</v>
      </c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120"/>
      <c r="BC103" s="25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</row>
    <row r="104" spans="1:200" ht="15" customHeight="1" x14ac:dyDescent="0.2">
      <c r="A104" s="2"/>
      <c r="B104" s="24" t="str">
        <f t="shared" ref="B104:B135" si="3">IF(C104="","","[ROW:"&amp;UPPER(TEXT(C104,"MMM"))&amp;"_"&amp;TEXT(C104,"YYYY")&amp;"]")</f>
        <v>[ROW:JAN_2024]</v>
      </c>
      <c r="C104" s="29">
        <f>IF(OR(Client_Info!$D$14="",Client_Info!$D$15=""),"",IF(EOMONTH(Client_Info!$D$14,96)&lt;=Client_Info!$D$15,EOMONTH(Client_Info!$D$14,96),""))</f>
        <v>45322</v>
      </c>
      <c r="D104" s="142">
        <v>2.15</v>
      </c>
      <c r="E104" s="142">
        <v>1.9</v>
      </c>
      <c r="F104" s="142">
        <v>2.5499999999999998</v>
      </c>
      <c r="G104" s="142">
        <v>-1.73</v>
      </c>
      <c r="H104" s="142">
        <v>-3.24</v>
      </c>
      <c r="I104" s="142">
        <v>-0.17</v>
      </c>
      <c r="J104" s="142">
        <v>-0.93</v>
      </c>
      <c r="K104" s="142">
        <v>-0.18</v>
      </c>
      <c r="L104" s="142">
        <v>-1.19</v>
      </c>
      <c r="M104" s="142">
        <v>5.49</v>
      </c>
      <c r="N104" s="142">
        <v>4.95</v>
      </c>
      <c r="O104" s="142">
        <v>-2.38</v>
      </c>
      <c r="P104" s="142">
        <v>-0.46</v>
      </c>
      <c r="Q104" s="142">
        <v>-1.27</v>
      </c>
      <c r="R104" s="142">
        <v>0.97</v>
      </c>
      <c r="S104" s="142">
        <v>-0.12</v>
      </c>
      <c r="T104" s="142">
        <v>0.89</v>
      </c>
      <c r="U104" s="142">
        <v>0.08</v>
      </c>
      <c r="V104" s="142">
        <v>0.41</v>
      </c>
      <c r="W104" s="142">
        <v>0.44</v>
      </c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120"/>
      <c r="BC104" s="25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</row>
    <row r="105" spans="1:200" ht="15" customHeight="1" x14ac:dyDescent="0.2">
      <c r="A105" s="2"/>
      <c r="B105" s="24" t="str">
        <f t="shared" si="3"/>
        <v>[ROW:FEB_2024]</v>
      </c>
      <c r="C105" s="29">
        <f>IF(OR(Client_Info!$D$14="",Client_Info!$D$15=""),"",IF(EOMONTH(Client_Info!$D$14,97)&lt;=Client_Info!$D$15,EOMONTH(Client_Info!$D$14,97),""))</f>
        <v>45351</v>
      </c>
      <c r="D105" s="142">
        <v>4.1399999999999997</v>
      </c>
      <c r="E105" s="142">
        <v>0.41</v>
      </c>
      <c r="F105" s="142">
        <v>4.49</v>
      </c>
      <c r="G105" s="142">
        <v>-1.2</v>
      </c>
      <c r="H105" s="142">
        <v>-2.1800000000000002</v>
      </c>
      <c r="I105" s="142">
        <v>-4.99</v>
      </c>
      <c r="J105" s="142">
        <v>-0.48</v>
      </c>
      <c r="K105" s="142">
        <v>-0.17</v>
      </c>
      <c r="L105" s="142">
        <v>-1.17</v>
      </c>
      <c r="M105" s="142">
        <v>2.97</v>
      </c>
      <c r="N105" s="142">
        <v>6.94</v>
      </c>
      <c r="O105" s="142">
        <v>0.92</v>
      </c>
      <c r="P105" s="142">
        <v>2.1800000000000002</v>
      </c>
      <c r="Q105" s="142">
        <v>-0.13</v>
      </c>
      <c r="R105" s="142">
        <v>-0.84</v>
      </c>
      <c r="S105" s="142">
        <v>1.23</v>
      </c>
      <c r="T105" s="142">
        <v>-0.1</v>
      </c>
      <c r="U105" s="142">
        <v>-0.37</v>
      </c>
      <c r="V105" s="142">
        <v>0.49</v>
      </c>
      <c r="W105" s="142">
        <v>0.44</v>
      </c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120"/>
      <c r="BC105" s="25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</row>
    <row r="106" spans="1:200" ht="15" customHeight="1" x14ac:dyDescent="0.2">
      <c r="A106" s="2"/>
      <c r="B106" s="24" t="str">
        <f t="shared" si="3"/>
        <v>[ROW:MAR_2024]</v>
      </c>
      <c r="C106" s="29">
        <f>IF(OR(Client_Info!$D$14="",Client_Info!$D$15=""),"",IF(EOMONTH(Client_Info!$D$14,98)&lt;=Client_Info!$D$15,EOMONTH(Client_Info!$D$14,98),""))</f>
        <v>45382</v>
      </c>
      <c r="D106" s="142">
        <v>1.84</v>
      </c>
      <c r="E106" s="142">
        <v>1.51</v>
      </c>
      <c r="F106" s="142">
        <v>-0.64</v>
      </c>
      <c r="G106" s="142">
        <v>-0.75</v>
      </c>
      <c r="H106" s="142">
        <v>1.71</v>
      </c>
      <c r="I106" s="142">
        <v>-0.94</v>
      </c>
      <c r="J106" s="142">
        <v>2.95</v>
      </c>
      <c r="K106" s="142">
        <v>4.3499999999999996</v>
      </c>
      <c r="L106" s="142">
        <v>4.45</v>
      </c>
      <c r="M106" s="142">
        <v>5.95</v>
      </c>
      <c r="N106" s="142">
        <v>3.43</v>
      </c>
      <c r="O106" s="142">
        <v>0.14000000000000001</v>
      </c>
      <c r="P106" s="142">
        <v>2.52</v>
      </c>
      <c r="Q106" s="142">
        <v>-1.5</v>
      </c>
      <c r="R106" s="142">
        <v>-0.13</v>
      </c>
      <c r="S106" s="142">
        <v>3.74</v>
      </c>
      <c r="T106" s="142">
        <v>-1.07</v>
      </c>
      <c r="U106" s="142">
        <v>-0.4</v>
      </c>
      <c r="V106" s="142">
        <v>0.33</v>
      </c>
      <c r="W106" s="142">
        <v>0.48</v>
      </c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120"/>
      <c r="BC106" s="25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</row>
    <row r="107" spans="1:200" ht="15" customHeight="1" x14ac:dyDescent="0.2">
      <c r="A107" s="2"/>
      <c r="B107" s="24" t="str">
        <f t="shared" si="3"/>
        <v>[ROW:APR_2024]</v>
      </c>
      <c r="C107" s="29">
        <f>IF(OR(Client_Info!$D$14="",Client_Info!$D$15=""),"",IF(EOMONTH(Client_Info!$D$14,99)&lt;=Client_Info!$D$15,EOMONTH(Client_Info!$D$14,99),""))</f>
        <v>45412</v>
      </c>
      <c r="D107" s="142">
        <v>-0.19</v>
      </c>
      <c r="E107" s="142">
        <v>-0.98</v>
      </c>
      <c r="F107" s="142">
        <v>-2.0099999999999998</v>
      </c>
      <c r="G107" s="142">
        <v>-1.47</v>
      </c>
      <c r="H107" s="142">
        <v>-1.56</v>
      </c>
      <c r="I107" s="142">
        <v>-4.9400000000000004</v>
      </c>
      <c r="J107" s="142">
        <v>3.83</v>
      </c>
      <c r="K107" s="142">
        <v>2.5</v>
      </c>
      <c r="L107" s="142">
        <v>1.62</v>
      </c>
      <c r="M107" s="142">
        <v>5.67</v>
      </c>
      <c r="N107" s="142">
        <v>6.6</v>
      </c>
      <c r="O107" s="142">
        <v>0.89</v>
      </c>
      <c r="P107" s="142">
        <v>3.56</v>
      </c>
      <c r="Q107" s="142">
        <v>-3.83</v>
      </c>
      <c r="R107" s="142">
        <v>-0.4</v>
      </c>
      <c r="S107" s="142">
        <v>0.93</v>
      </c>
      <c r="T107" s="142">
        <v>-3.72</v>
      </c>
      <c r="U107" s="142">
        <v>-0.88</v>
      </c>
      <c r="V107" s="142">
        <v>-0.66</v>
      </c>
      <c r="W107" s="142">
        <v>0.41</v>
      </c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120"/>
      <c r="BC107" s="25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</row>
    <row r="108" spans="1:200" ht="15" customHeight="1" x14ac:dyDescent="0.2">
      <c r="A108" s="2"/>
      <c r="B108" s="24" t="str">
        <f t="shared" si="3"/>
        <v>[ROW:MAY_2024]</v>
      </c>
      <c r="C108" s="29">
        <f>IF(OR(Client_Info!$D$14="",Client_Info!$D$15=""),"",IF(EOMONTH(Client_Info!$D$14,100)&lt;=Client_Info!$D$15,EOMONTH(Client_Info!$D$14,100),""))</f>
        <v>45443</v>
      </c>
      <c r="D108" s="142">
        <v>-4.16</v>
      </c>
      <c r="E108" s="142">
        <v>-4.3</v>
      </c>
      <c r="F108" s="142">
        <v>-4.7699999999999996</v>
      </c>
      <c r="G108" s="142">
        <v>-2.2400000000000002</v>
      </c>
      <c r="H108" s="142">
        <v>-3.84</v>
      </c>
      <c r="I108" s="142">
        <v>11.82</v>
      </c>
      <c r="J108" s="142">
        <v>2.15</v>
      </c>
      <c r="K108" s="142">
        <v>1.49</v>
      </c>
      <c r="L108" s="142">
        <v>-0.22</v>
      </c>
      <c r="M108" s="142">
        <v>3.52</v>
      </c>
      <c r="N108" s="142">
        <v>-0.19</v>
      </c>
      <c r="O108" s="142">
        <v>-1.98</v>
      </c>
      <c r="P108" s="142">
        <v>0.62</v>
      </c>
      <c r="Q108" s="142">
        <v>4.0999999999999996</v>
      </c>
      <c r="R108" s="142">
        <v>2.4900000000000002</v>
      </c>
      <c r="S108" s="142">
        <v>2.4700000000000002</v>
      </c>
      <c r="T108" s="142">
        <v>0.25</v>
      </c>
      <c r="U108" s="142">
        <v>-1.21</v>
      </c>
      <c r="V108" s="142">
        <v>-0.92</v>
      </c>
      <c r="W108" s="142">
        <v>0.43</v>
      </c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120"/>
      <c r="BC108" s="25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</row>
    <row r="109" spans="1:200" ht="15" customHeight="1" x14ac:dyDescent="0.2">
      <c r="A109" s="2"/>
      <c r="B109" s="24" t="str">
        <f t="shared" si="3"/>
        <v>[ROW:JUN_2024]</v>
      </c>
      <c r="C109" s="29">
        <f>IF(OR(Client_Info!$D$14="",Client_Info!$D$15=""),"",IF(EOMONTH(Client_Info!$D$14,101)&lt;=Client_Info!$D$15,EOMONTH(Client_Info!$D$14,101),""))</f>
        <v>45473</v>
      </c>
      <c r="D109" s="142">
        <v>-1.04</v>
      </c>
      <c r="E109" s="142">
        <v>-1.06</v>
      </c>
      <c r="F109" s="142">
        <v>-0.62</v>
      </c>
      <c r="G109" s="142">
        <v>2.04</v>
      </c>
      <c r="H109" s="142">
        <v>0.48</v>
      </c>
      <c r="I109" s="142">
        <v>2.37</v>
      </c>
      <c r="J109" s="142">
        <v>4.12</v>
      </c>
      <c r="K109" s="142">
        <v>3.38</v>
      </c>
      <c r="L109" s="142">
        <v>3.65</v>
      </c>
      <c r="M109" s="142">
        <v>12.89</v>
      </c>
      <c r="N109" s="142">
        <v>11.68</v>
      </c>
      <c r="O109" s="142">
        <v>2.59</v>
      </c>
      <c r="P109" s="142">
        <v>-2.29</v>
      </c>
      <c r="Q109" s="142">
        <v>7.25</v>
      </c>
      <c r="R109" s="142">
        <v>4.22</v>
      </c>
      <c r="S109" s="142">
        <v>3.68</v>
      </c>
      <c r="T109" s="142">
        <v>2.9</v>
      </c>
      <c r="U109" s="142">
        <v>0.69</v>
      </c>
      <c r="V109" s="142">
        <v>0.34</v>
      </c>
      <c r="W109" s="142">
        <v>0.4</v>
      </c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120"/>
      <c r="BC109" s="25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</row>
    <row r="110" spans="1:200" ht="15" customHeight="1" x14ac:dyDescent="0.2">
      <c r="A110" s="2"/>
      <c r="B110" s="24" t="str">
        <f t="shared" si="3"/>
        <v>[ROW:JUL_2024]</v>
      </c>
      <c r="C110" s="29">
        <f>IF(OR(Client_Info!$D$14="",Client_Info!$D$15=""),"",IF(EOMONTH(Client_Info!$D$14,102)&lt;=Client_Info!$D$15,EOMONTH(Client_Info!$D$14,102),""))</f>
        <v>45504</v>
      </c>
      <c r="D110" s="142">
        <v>1.04</v>
      </c>
      <c r="E110" s="142">
        <v>0.98</v>
      </c>
      <c r="F110" s="142">
        <v>-0.11</v>
      </c>
      <c r="G110" s="142">
        <v>3</v>
      </c>
      <c r="H110" s="142">
        <v>1.8</v>
      </c>
      <c r="I110" s="142">
        <v>-3.32</v>
      </c>
      <c r="J110" s="142">
        <v>-0.91</v>
      </c>
      <c r="K110" s="142">
        <v>-1.03</v>
      </c>
      <c r="L110" s="142">
        <v>-3.37</v>
      </c>
      <c r="M110" s="142">
        <v>13.79</v>
      </c>
      <c r="N110" s="142">
        <v>16.89</v>
      </c>
      <c r="O110" s="142">
        <v>3.04</v>
      </c>
      <c r="P110" s="142">
        <v>-1.1499999999999999</v>
      </c>
      <c r="Q110" s="142">
        <v>3.14</v>
      </c>
      <c r="R110" s="142">
        <v>3.05</v>
      </c>
      <c r="S110" s="142">
        <v>-1.1299999999999999</v>
      </c>
      <c r="T110" s="142">
        <v>2.5</v>
      </c>
      <c r="U110" s="142">
        <v>-1.75</v>
      </c>
      <c r="V110" s="142">
        <v>-2.0099999999999998</v>
      </c>
      <c r="W110" s="142">
        <v>0.38</v>
      </c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120"/>
      <c r="BC110" s="25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</row>
    <row r="111" spans="1:200" ht="15" customHeight="1" x14ac:dyDescent="0.2">
      <c r="A111" s="2"/>
      <c r="B111" s="24" t="str">
        <f t="shared" si="3"/>
        <v>[ROW:AUG_2024]</v>
      </c>
      <c r="C111" s="29">
        <f>IF(OR(Client_Info!$D$14="",Client_Info!$D$15=""),"",IF(EOMONTH(Client_Info!$D$14,103)&lt;=Client_Info!$D$15,EOMONTH(Client_Info!$D$14,103),""))</f>
        <v>45535</v>
      </c>
      <c r="D111" s="142">
        <v>-1.88</v>
      </c>
      <c r="E111" s="142">
        <v>-4.01</v>
      </c>
      <c r="F111" s="142">
        <v>-2</v>
      </c>
      <c r="G111" s="142">
        <v>-2.7</v>
      </c>
      <c r="H111" s="142">
        <v>-1.64</v>
      </c>
      <c r="I111" s="142">
        <v>1.02</v>
      </c>
      <c r="J111" s="142">
        <v>-2.87</v>
      </c>
      <c r="K111" s="142">
        <v>-4.55</v>
      </c>
      <c r="L111" s="142">
        <v>-4.0199999999999996</v>
      </c>
      <c r="M111" s="142">
        <v>3.39</v>
      </c>
      <c r="N111" s="142">
        <v>5.76</v>
      </c>
      <c r="O111" s="142">
        <v>1.4</v>
      </c>
      <c r="P111" s="142">
        <v>-1.98</v>
      </c>
      <c r="Q111" s="142">
        <v>-1.1000000000000001</v>
      </c>
      <c r="R111" s="142">
        <v>-2.4900000000000002</v>
      </c>
      <c r="S111" s="142">
        <v>-1.72</v>
      </c>
      <c r="T111" s="142">
        <v>0.26</v>
      </c>
      <c r="U111" s="142">
        <v>0.09</v>
      </c>
      <c r="V111" s="142">
        <v>1.34</v>
      </c>
      <c r="W111" s="142">
        <v>0.38</v>
      </c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120"/>
      <c r="BC111" s="25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</row>
    <row r="112" spans="1:200" ht="15" customHeight="1" x14ac:dyDescent="0.2">
      <c r="A112" s="2"/>
      <c r="B112" s="24" t="str">
        <f t="shared" si="3"/>
        <v>[ROW:SEP_2024]</v>
      </c>
      <c r="C112" s="29">
        <f>IF(OR(Client_Info!$D$14="",Client_Info!$D$15=""),"",IF(EOMONTH(Client_Info!$D$14,104)&lt;=Client_Info!$D$15,EOMONTH(Client_Info!$D$14,104),""))</f>
        <v>45565</v>
      </c>
      <c r="D112" s="142">
        <v>0.34</v>
      </c>
      <c r="E112" s="142">
        <v>-2.37</v>
      </c>
      <c r="F112" s="142">
        <v>0.1</v>
      </c>
      <c r="G112" s="142">
        <v>-0.53</v>
      </c>
      <c r="H112" s="142">
        <v>-1.41</v>
      </c>
      <c r="I112" s="142">
        <v>-1.36</v>
      </c>
      <c r="J112" s="142">
        <v>-3.24</v>
      </c>
      <c r="K112" s="142">
        <v>-7.65</v>
      </c>
      <c r="L112" s="142">
        <v>-3.21</v>
      </c>
      <c r="M112" s="142">
        <v>-3.51</v>
      </c>
      <c r="N112" s="142">
        <v>-1.76</v>
      </c>
      <c r="O112" s="142">
        <v>3.17</v>
      </c>
      <c r="P112" s="142">
        <v>-1.73</v>
      </c>
      <c r="Q112" s="142">
        <v>-1.23</v>
      </c>
      <c r="R112" s="142">
        <v>1.62</v>
      </c>
      <c r="S112" s="142">
        <v>-1.21</v>
      </c>
      <c r="T112" s="142">
        <v>-0.65</v>
      </c>
      <c r="U112" s="142">
        <v>0.17</v>
      </c>
      <c r="V112" s="142">
        <v>-0.2</v>
      </c>
      <c r="W112" s="142">
        <v>0.38</v>
      </c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120"/>
      <c r="BC112" s="25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</row>
    <row r="113" spans="1:200" ht="15" customHeight="1" x14ac:dyDescent="0.2">
      <c r="A113" s="2"/>
      <c r="B113" s="24" t="str">
        <f t="shared" si="3"/>
        <v>[ROW:OCT_2024]</v>
      </c>
      <c r="C113" s="29">
        <f>IF(OR(Client_Info!$D$14="",Client_Info!$D$15=""),"",IF(EOMONTH(Client_Info!$D$14,105)&lt;=Client_Info!$D$15,EOMONTH(Client_Info!$D$14,105),""))</f>
        <v>45596</v>
      </c>
      <c r="D113" s="142">
        <v>3.43</v>
      </c>
      <c r="E113" s="142">
        <v>3.32</v>
      </c>
      <c r="F113" s="142">
        <v>5.03</v>
      </c>
      <c r="G113" s="142">
        <v>2.9</v>
      </c>
      <c r="H113" s="142">
        <v>0.63</v>
      </c>
      <c r="I113" s="142">
        <v>-1.55</v>
      </c>
      <c r="J113" s="142">
        <v>-1.92</v>
      </c>
      <c r="K113" s="142">
        <v>-0.9</v>
      </c>
      <c r="L113" s="142">
        <v>-1.1299999999999999</v>
      </c>
      <c r="M113" s="142">
        <v>5.79</v>
      </c>
      <c r="N113" s="142">
        <v>9.31</v>
      </c>
      <c r="O113" s="142">
        <v>-1.67</v>
      </c>
      <c r="P113" s="142">
        <v>-1.7</v>
      </c>
      <c r="Q113" s="142">
        <v>0.61</v>
      </c>
      <c r="R113" s="142">
        <v>-2.84</v>
      </c>
      <c r="S113" s="142">
        <v>-2.02</v>
      </c>
      <c r="T113" s="142">
        <v>2.1800000000000002</v>
      </c>
      <c r="U113" s="142">
        <v>-1.04</v>
      </c>
      <c r="V113" s="142">
        <v>-1.77</v>
      </c>
      <c r="W113" s="142">
        <v>0.4</v>
      </c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120"/>
      <c r="BC113" s="25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</row>
    <row r="114" spans="1:200" ht="15" customHeight="1" x14ac:dyDescent="0.2">
      <c r="A114" s="2"/>
      <c r="B114" s="24" t="str">
        <f t="shared" si="3"/>
        <v>[ROW:NOV_2024]</v>
      </c>
      <c r="C114" s="29">
        <f>IF(OR(Client_Info!$D$14="",Client_Info!$D$15=""),"",IF(EOMONTH(Client_Info!$D$14,106)&lt;=Client_Info!$D$15,EOMONTH(Client_Info!$D$14,106),""))</f>
        <v>45626</v>
      </c>
      <c r="D114" s="142">
        <v>7.52</v>
      </c>
      <c r="E114" s="142">
        <v>10.83</v>
      </c>
      <c r="F114" s="142">
        <v>6.98</v>
      </c>
      <c r="G114" s="142">
        <v>-7.32</v>
      </c>
      <c r="H114" s="142">
        <v>-5.63</v>
      </c>
      <c r="I114" s="142">
        <v>8.24</v>
      </c>
      <c r="J114" s="142">
        <v>3.08</v>
      </c>
      <c r="K114" s="142">
        <v>0.95</v>
      </c>
      <c r="L114" s="142">
        <v>-1.1299999999999999</v>
      </c>
      <c r="M114" s="142">
        <v>8.43</v>
      </c>
      <c r="N114" s="142">
        <v>3.8</v>
      </c>
      <c r="O114" s="142">
        <v>-2.0299999999999998</v>
      </c>
      <c r="P114" s="142">
        <v>-1.47</v>
      </c>
      <c r="Q114" s="142">
        <v>-2.23</v>
      </c>
      <c r="R114" s="142">
        <v>-0.37</v>
      </c>
      <c r="S114" s="142">
        <v>2.82</v>
      </c>
      <c r="T114" s="142">
        <v>-1.55</v>
      </c>
      <c r="U114" s="142">
        <v>0.13</v>
      </c>
      <c r="V114" s="142">
        <v>0.03</v>
      </c>
      <c r="W114" s="142">
        <v>0.45</v>
      </c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120"/>
      <c r="BC114" s="25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</row>
    <row r="115" spans="1:200" ht="15" customHeight="1" x14ac:dyDescent="0.2">
      <c r="A115" s="2"/>
      <c r="B115" s="24" t="str">
        <f t="shared" si="3"/>
        <v>[ROW:DEC_2024]</v>
      </c>
      <c r="C115" s="29">
        <f>IF(OR(Client_Info!$D$14="",Client_Info!$D$15=""),"",IF(EOMONTH(Client_Info!$D$14,107)&lt;=Client_Info!$D$15,EOMONTH(Client_Info!$D$14,107),""))</f>
        <v>45657</v>
      </c>
      <c r="D115" s="142">
        <v>0.62</v>
      </c>
      <c r="E115" s="142">
        <v>2.59</v>
      </c>
      <c r="F115" s="142">
        <v>0.69</v>
      </c>
      <c r="G115" s="142">
        <v>-4.74</v>
      </c>
      <c r="H115" s="142">
        <v>-6.16</v>
      </c>
      <c r="I115" s="142">
        <v>6.52</v>
      </c>
      <c r="J115" s="142">
        <v>3.33</v>
      </c>
      <c r="K115" s="142">
        <v>0.42</v>
      </c>
      <c r="L115" s="142">
        <v>0.24</v>
      </c>
      <c r="M115" s="142">
        <v>1.33</v>
      </c>
      <c r="N115" s="142">
        <v>2.5499999999999998</v>
      </c>
      <c r="O115" s="142">
        <v>1.35</v>
      </c>
      <c r="P115" s="142">
        <v>1.78</v>
      </c>
      <c r="Q115" s="142">
        <v>0.46</v>
      </c>
      <c r="R115" s="142">
        <v>-0.76</v>
      </c>
      <c r="S115" s="142">
        <v>0.43</v>
      </c>
      <c r="T115" s="142">
        <v>1.4</v>
      </c>
      <c r="U115" s="142">
        <v>-0.43</v>
      </c>
      <c r="V115" s="142">
        <v>-0.42</v>
      </c>
      <c r="W115" s="142">
        <v>0.35</v>
      </c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120"/>
      <c r="BC115" s="25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</row>
    <row r="116" spans="1:200" ht="15" customHeight="1" x14ac:dyDescent="0.2">
      <c r="A116" s="2"/>
      <c r="B116" s="24" t="str">
        <f t="shared" si="3"/>
        <v>[ROW:JAN_2025]</v>
      </c>
      <c r="C116" s="29">
        <f>IF(OR(Client_Info!$D$14="",Client_Info!$D$15=""),"",IF(EOMONTH(Client_Info!$D$14,108)&lt;=Client_Info!$D$15,EOMONTH(Client_Info!$D$14,108),""))</f>
        <v>45688</v>
      </c>
      <c r="D116" s="142">
        <v>0.9</v>
      </c>
      <c r="E116" s="142">
        <v>2.17</v>
      </c>
      <c r="F116" s="142">
        <v>2.09</v>
      </c>
      <c r="G116" s="142">
        <v>-2.9</v>
      </c>
      <c r="H116" s="142">
        <v>-1.55</v>
      </c>
      <c r="I116" s="142">
        <v>-3.92</v>
      </c>
      <c r="J116" s="142">
        <v>-1.02</v>
      </c>
      <c r="K116" s="142">
        <v>0.26</v>
      </c>
      <c r="L116" s="142">
        <v>0.75</v>
      </c>
      <c r="M116" s="142">
        <v>-4.3</v>
      </c>
      <c r="N116" s="142">
        <v>0.02</v>
      </c>
      <c r="O116" s="142">
        <v>1.56</v>
      </c>
      <c r="P116" s="142">
        <v>0.88</v>
      </c>
      <c r="Q116" s="142">
        <v>1.23</v>
      </c>
      <c r="R116" s="142">
        <v>4.25</v>
      </c>
      <c r="S116" s="142">
        <v>0.63</v>
      </c>
      <c r="T116" s="142">
        <v>2.5299999999999998</v>
      </c>
      <c r="U116" s="142">
        <v>0.5</v>
      </c>
      <c r="V116" s="142">
        <v>-0.04</v>
      </c>
      <c r="W116" s="142">
        <v>0.36</v>
      </c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120"/>
      <c r="BC116" s="25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</row>
    <row r="117" spans="1:200" ht="15" customHeight="1" x14ac:dyDescent="0.2">
      <c r="A117" s="2"/>
      <c r="B117" s="24" t="str">
        <f t="shared" si="3"/>
        <v>[ROW:FEB_2025]</v>
      </c>
      <c r="C117" s="29">
        <f>IF(OR(Client_Info!$D$14="",Client_Info!$D$15=""),"",IF(EOMONTH(Client_Info!$D$14,109)&lt;=Client_Info!$D$15,EOMONTH(Client_Info!$D$14,109),""))</f>
        <v>45716</v>
      </c>
      <c r="D117" s="142">
        <v>1.01</v>
      </c>
      <c r="E117" s="142">
        <v>0.54</v>
      </c>
      <c r="F117" s="142">
        <v>-1.57</v>
      </c>
      <c r="G117" s="142">
        <v>-0.37</v>
      </c>
      <c r="H117" s="142">
        <v>0.64</v>
      </c>
      <c r="I117" s="142">
        <v>-4.1100000000000003</v>
      </c>
      <c r="J117" s="142">
        <v>2.94</v>
      </c>
      <c r="K117" s="142">
        <v>3.43</v>
      </c>
      <c r="L117" s="142">
        <v>6.17</v>
      </c>
      <c r="M117" s="142">
        <v>5.23</v>
      </c>
      <c r="N117" s="142">
        <v>-8.7100000000000009</v>
      </c>
      <c r="O117" s="142">
        <v>0.94</v>
      </c>
      <c r="P117" s="142">
        <v>1.6</v>
      </c>
      <c r="Q117" s="142">
        <v>-1.87</v>
      </c>
      <c r="R117" s="142">
        <v>0.83</v>
      </c>
      <c r="S117" s="142">
        <v>0.1</v>
      </c>
      <c r="T117" s="142">
        <v>2.46</v>
      </c>
      <c r="U117" s="142">
        <v>1.24</v>
      </c>
      <c r="V117" s="142">
        <v>2.4300000000000002</v>
      </c>
      <c r="W117" s="142">
        <v>0.37</v>
      </c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120"/>
      <c r="BC117" s="25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</row>
    <row r="118" spans="1:200" ht="15" customHeight="1" x14ac:dyDescent="0.2">
      <c r="A118" s="2"/>
      <c r="B118" s="24" t="str">
        <f t="shared" si="3"/>
        <v>[ROW:MAR_2025]</v>
      </c>
      <c r="C118" s="29">
        <f>IF(OR(Client_Info!$D$14="",Client_Info!$D$15=""),"",IF(EOMONTH(Client_Info!$D$14,110)&lt;=Client_Info!$D$15,EOMONTH(Client_Info!$D$14,110),""))</f>
        <v>45747</v>
      </c>
      <c r="D118" s="142">
        <v>-5.14</v>
      </c>
      <c r="E118" s="142">
        <v>-6.75</v>
      </c>
      <c r="F118" s="142">
        <v>-7.44</v>
      </c>
      <c r="G118" s="142">
        <v>2.2400000000000002</v>
      </c>
      <c r="H118" s="142">
        <v>-0.15</v>
      </c>
      <c r="I118" s="142">
        <v>0.06</v>
      </c>
      <c r="J118" s="142">
        <v>4.37</v>
      </c>
      <c r="K118" s="142">
        <v>6.35</v>
      </c>
      <c r="L118" s="142">
        <v>2.4900000000000002</v>
      </c>
      <c r="M118" s="142">
        <v>-0.69</v>
      </c>
      <c r="N118" s="142">
        <v>-9.59</v>
      </c>
      <c r="O118" s="142">
        <v>-0.05</v>
      </c>
      <c r="P118" s="142">
        <v>0.52</v>
      </c>
      <c r="Q118" s="142">
        <v>0.84</v>
      </c>
      <c r="R118" s="142">
        <v>2.08</v>
      </c>
      <c r="S118" s="142">
        <v>-0.76</v>
      </c>
      <c r="T118" s="142">
        <v>0.33</v>
      </c>
      <c r="U118" s="142">
        <v>-1.69</v>
      </c>
      <c r="V118" s="142">
        <v>-1.56</v>
      </c>
      <c r="W118" s="142">
        <v>0.38</v>
      </c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120"/>
      <c r="BC118" s="25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</row>
    <row r="119" spans="1:200" ht="15" customHeight="1" x14ac:dyDescent="0.2">
      <c r="A119" s="2"/>
      <c r="B119" s="24" t="str">
        <f t="shared" si="3"/>
        <v>[ROW:APR_2025]</v>
      </c>
      <c r="C119" s="29">
        <f>IF(OR(Client_Info!$D$14="",Client_Info!$D$15=""),"",IF(EOMONTH(Client_Info!$D$14,111)&lt;=Client_Info!$D$15,EOMONTH(Client_Info!$D$14,111),""))</f>
        <v>45777</v>
      </c>
      <c r="D119" s="142">
        <v>3.63</v>
      </c>
      <c r="E119" s="142">
        <v>0.19</v>
      </c>
      <c r="F119" s="142">
        <v>3.41</v>
      </c>
      <c r="G119" s="142">
        <v>5.98</v>
      </c>
      <c r="H119" s="142">
        <v>5.48</v>
      </c>
      <c r="I119" s="142">
        <v>-10.38</v>
      </c>
      <c r="J119" s="142">
        <v>1.46</v>
      </c>
      <c r="K119" s="142">
        <v>2.89</v>
      </c>
      <c r="L119" s="142">
        <v>1.5</v>
      </c>
      <c r="M119" s="142">
        <v>-3.16</v>
      </c>
      <c r="N119" s="142">
        <v>-6.38</v>
      </c>
      <c r="O119" s="142">
        <v>-1.22</v>
      </c>
      <c r="P119" s="142">
        <v>1.42</v>
      </c>
      <c r="Q119" s="142">
        <v>-2.4700000000000002</v>
      </c>
      <c r="R119" s="142">
        <v>2.87</v>
      </c>
      <c r="S119" s="142">
        <v>0.12</v>
      </c>
      <c r="T119" s="142">
        <v>-7.0000000000000007E-2</v>
      </c>
      <c r="U119" s="142">
        <v>0.02</v>
      </c>
      <c r="V119" s="142">
        <v>0</v>
      </c>
      <c r="W119" s="142">
        <v>0.37</v>
      </c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120"/>
      <c r="BC119" s="25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</row>
    <row r="120" spans="1:200" ht="15" customHeight="1" x14ac:dyDescent="0.2">
      <c r="A120" s="2"/>
      <c r="B120" s="24" t="str">
        <f t="shared" si="3"/>
        <v>[ROW:MAY_2025]</v>
      </c>
      <c r="C120" s="29">
        <f>IF(OR(Client_Info!$D$14="",Client_Info!$D$15=""),"",IF(EOMONTH(Client_Info!$D$14,112)&lt;=Client_Info!$D$15,EOMONTH(Client_Info!$D$14,112),""))</f>
        <v>45808</v>
      </c>
      <c r="D120" s="142">
        <v>2.16</v>
      </c>
      <c r="E120" s="142">
        <v>1.77</v>
      </c>
      <c r="F120" s="142">
        <v>1.42</v>
      </c>
      <c r="G120" s="142">
        <v>3.27</v>
      </c>
      <c r="H120" s="142">
        <v>2.41</v>
      </c>
      <c r="I120" s="142">
        <v>-6.29</v>
      </c>
      <c r="J120" s="142">
        <v>0.53</v>
      </c>
      <c r="K120" s="142">
        <v>-0.52</v>
      </c>
      <c r="L120" s="142">
        <v>-4.1100000000000003</v>
      </c>
      <c r="M120" s="142">
        <v>-4.18</v>
      </c>
      <c r="N120" s="142">
        <v>-5.93</v>
      </c>
      <c r="O120" s="142">
        <v>-1.97</v>
      </c>
      <c r="P120" s="142">
        <v>0.68</v>
      </c>
      <c r="Q120" s="142">
        <v>-0.55000000000000004</v>
      </c>
      <c r="R120" s="142">
        <v>6.32</v>
      </c>
      <c r="S120" s="142">
        <v>2.02</v>
      </c>
      <c r="T120" s="142">
        <v>0.51</v>
      </c>
      <c r="U120" s="142">
        <v>1.01</v>
      </c>
      <c r="V120" s="142">
        <v>-0.8</v>
      </c>
      <c r="W120" s="142">
        <v>0.4</v>
      </c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120"/>
      <c r="BC120" s="25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</row>
    <row r="121" spans="1:200" ht="15" customHeight="1" x14ac:dyDescent="0.2">
      <c r="A121" s="2"/>
      <c r="B121" s="24" t="str">
        <f t="shared" si="3"/>
        <v>[ROW:JUN_2025]</v>
      </c>
      <c r="C121" s="29">
        <f>IF(OR(Client_Info!$D$14="",Client_Info!$D$15=""),"",IF(EOMONTH(Client_Info!$D$14,113)&lt;=Client_Info!$D$15,EOMONTH(Client_Info!$D$14,113),""))</f>
        <v>45838</v>
      </c>
      <c r="D121" s="142">
        <v>12.41</v>
      </c>
      <c r="E121" s="142">
        <v>11.99</v>
      </c>
      <c r="F121" s="142">
        <v>12.12</v>
      </c>
      <c r="G121" s="142">
        <v>-0.02</v>
      </c>
      <c r="H121" s="142">
        <v>-0.84</v>
      </c>
      <c r="I121" s="142">
        <v>7.53</v>
      </c>
      <c r="J121" s="142">
        <v>2.27</v>
      </c>
      <c r="K121" s="142">
        <v>1.47</v>
      </c>
      <c r="L121" s="142">
        <v>0.47</v>
      </c>
      <c r="M121" s="142">
        <v>-3.27</v>
      </c>
      <c r="N121" s="142">
        <v>-7.35</v>
      </c>
      <c r="O121" s="142">
        <v>4.58</v>
      </c>
      <c r="P121" s="142">
        <v>0.15</v>
      </c>
      <c r="Q121" s="142">
        <v>-0.35</v>
      </c>
      <c r="R121" s="142">
        <v>-0.59</v>
      </c>
      <c r="S121" s="142">
        <v>-2.85</v>
      </c>
      <c r="T121" s="142">
        <v>-1.56</v>
      </c>
      <c r="U121" s="142">
        <v>1.27</v>
      </c>
      <c r="V121" s="142">
        <v>0.97</v>
      </c>
      <c r="W121" s="142">
        <v>0.28999999999999998</v>
      </c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120"/>
      <c r="BC121" s="25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</row>
    <row r="122" spans="1:200" ht="15" customHeight="1" x14ac:dyDescent="0.2">
      <c r="A122" s="2"/>
      <c r="B122" s="24" t="str">
        <f t="shared" si="3"/>
        <v>[ROW:JUL_2025]</v>
      </c>
      <c r="C122" s="29">
        <f>IF(OR(Client_Info!$D$14="",Client_Info!$D$15=""),"",IF(EOMONTH(Client_Info!$D$14,114)&lt;=Client_Info!$D$15,EOMONTH(Client_Info!$D$14,114),""))</f>
        <v>45869</v>
      </c>
      <c r="D122" s="142">
        <v>-1.75</v>
      </c>
      <c r="E122" s="142">
        <v>1.81</v>
      </c>
      <c r="F122" s="142">
        <v>-1.53</v>
      </c>
      <c r="G122" s="142">
        <v>-0.75</v>
      </c>
      <c r="H122" s="142">
        <v>0.3</v>
      </c>
      <c r="I122" s="142">
        <v>9.16</v>
      </c>
      <c r="J122" s="142">
        <v>6</v>
      </c>
      <c r="K122" s="142">
        <v>2.9</v>
      </c>
      <c r="L122" s="142">
        <v>2.9</v>
      </c>
      <c r="M122" s="142">
        <v>-1.97</v>
      </c>
      <c r="N122" s="142">
        <v>1.62</v>
      </c>
      <c r="O122" s="142">
        <v>-0.87</v>
      </c>
      <c r="P122" s="142">
        <v>0.48</v>
      </c>
      <c r="Q122" s="142">
        <v>-4.17</v>
      </c>
      <c r="R122" s="142">
        <v>2.42</v>
      </c>
      <c r="S122" s="142">
        <v>1.39</v>
      </c>
      <c r="T122" s="142">
        <v>-0.48</v>
      </c>
      <c r="U122" s="142">
        <v>0.24</v>
      </c>
      <c r="V122" s="142">
        <v>0.26</v>
      </c>
      <c r="W122" s="142">
        <v>0.28000000000000003</v>
      </c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120"/>
      <c r="BC122" s="25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</row>
    <row r="123" spans="1:200" ht="15" customHeight="1" x14ac:dyDescent="0.2">
      <c r="A123" s="2"/>
      <c r="B123" s="24" t="str">
        <f t="shared" si="3"/>
        <v>[ROW:AUG_2025]</v>
      </c>
      <c r="C123" s="29">
        <f>IF(OR(Client_Info!$D$14="",Client_Info!$D$15=""),"",IF(EOMONTH(Client_Info!$D$14,115)&lt;=Client_Info!$D$15,EOMONTH(Client_Info!$D$14,115),""))</f>
        <v>45900</v>
      </c>
      <c r="D123" s="142">
        <v>1.85</v>
      </c>
      <c r="E123" s="142">
        <v>4.97</v>
      </c>
      <c r="F123" s="142">
        <v>1.54</v>
      </c>
      <c r="G123" s="142">
        <v>-4.72</v>
      </c>
      <c r="H123" s="142">
        <v>-5.0599999999999996</v>
      </c>
      <c r="I123" s="142">
        <v>-0.03</v>
      </c>
      <c r="J123" s="142">
        <v>6.34</v>
      </c>
      <c r="K123" s="142">
        <v>3.79</v>
      </c>
      <c r="L123" s="142">
        <v>2.56</v>
      </c>
      <c r="M123" s="142">
        <v>4.62</v>
      </c>
      <c r="N123" s="142">
        <v>4.7699999999999996</v>
      </c>
      <c r="O123" s="142">
        <v>2.2200000000000002</v>
      </c>
      <c r="P123" s="142">
        <v>-1.31</v>
      </c>
      <c r="Q123" s="142">
        <v>-0.46</v>
      </c>
      <c r="R123" s="142">
        <v>-0.03</v>
      </c>
      <c r="S123" s="142">
        <v>0.68</v>
      </c>
      <c r="T123" s="142">
        <v>0.7</v>
      </c>
      <c r="U123" s="142">
        <v>-0.88</v>
      </c>
      <c r="V123" s="142">
        <v>-0.53</v>
      </c>
      <c r="W123" s="142">
        <v>0.33</v>
      </c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120"/>
      <c r="BC123" s="25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</row>
    <row r="124" spans="1:200" ht="15" customHeight="1" x14ac:dyDescent="0.2">
      <c r="A124" s="2"/>
      <c r="B124" s="24" t="str">
        <f t="shared" si="3"/>
        <v>[ROW:SEP_2025]</v>
      </c>
      <c r="C124" s="29">
        <f>IF(OR(Client_Info!$D$14="",Client_Info!$D$15=""),"",IF(EOMONTH(Client_Info!$D$14,116)&lt;=Client_Info!$D$15,EOMONTH(Client_Info!$D$14,116),""))</f>
        <v>45930</v>
      </c>
      <c r="D124" s="142">
        <v>0.11</v>
      </c>
      <c r="E124" s="142">
        <v>0.67</v>
      </c>
      <c r="F124" s="142">
        <v>0.43</v>
      </c>
      <c r="G124" s="142">
        <v>1.29</v>
      </c>
      <c r="H124" s="142">
        <v>-0.55000000000000004</v>
      </c>
      <c r="I124" s="142">
        <v>3.91</v>
      </c>
      <c r="J124" s="142">
        <v>3.5</v>
      </c>
      <c r="K124" s="142">
        <v>3.41</v>
      </c>
      <c r="L124" s="142">
        <v>1.19</v>
      </c>
      <c r="M124" s="142">
        <v>7.27</v>
      </c>
      <c r="N124" s="142">
        <v>5.35</v>
      </c>
      <c r="O124" s="142">
        <v>2.27</v>
      </c>
      <c r="P124" s="142">
        <v>-1.25</v>
      </c>
      <c r="Q124" s="142">
        <v>2.4</v>
      </c>
      <c r="R124" s="142">
        <v>-2.67</v>
      </c>
      <c r="S124" s="142">
        <v>3.84</v>
      </c>
      <c r="T124" s="142">
        <v>2.75</v>
      </c>
      <c r="U124" s="142">
        <v>-0.16</v>
      </c>
      <c r="V124" s="142">
        <v>-0.3</v>
      </c>
      <c r="W124" s="142">
        <v>0.38</v>
      </c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120"/>
      <c r="BC124" s="25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</row>
    <row r="125" spans="1:200" ht="15" customHeight="1" x14ac:dyDescent="0.2">
      <c r="A125" s="2"/>
      <c r="B125" s="24" t="str">
        <f t="shared" si="3"/>
        <v>[ROW:OCT_2025]</v>
      </c>
      <c r="C125" s="29">
        <f>IF(OR(Client_Info!$D$14="",Client_Info!$D$15=""),"",IF(EOMONTH(Client_Info!$D$14,117)&lt;=Client_Info!$D$15,EOMONTH(Client_Info!$D$14,117),""))</f>
        <v>45961</v>
      </c>
      <c r="D125" s="142">
        <v>-4.6100000000000003</v>
      </c>
      <c r="E125" s="142">
        <v>-4.3600000000000003</v>
      </c>
      <c r="F125" s="142">
        <v>-4.3899999999999997</v>
      </c>
      <c r="G125" s="142">
        <v>-1.91</v>
      </c>
      <c r="H125" s="142">
        <v>-1.72</v>
      </c>
      <c r="I125" s="142">
        <v>-0.79</v>
      </c>
      <c r="J125" s="142">
        <v>3.08</v>
      </c>
      <c r="K125" s="142">
        <v>0.31</v>
      </c>
      <c r="L125" s="142">
        <v>0.01</v>
      </c>
      <c r="M125" s="142">
        <v>-2.59</v>
      </c>
      <c r="N125" s="142">
        <v>-2.12</v>
      </c>
      <c r="O125" s="142">
        <v>-0.21</v>
      </c>
      <c r="P125" s="142">
        <v>-2.0299999999999998</v>
      </c>
      <c r="Q125" s="142">
        <v>-1.62</v>
      </c>
      <c r="R125" s="142">
        <v>1.51</v>
      </c>
      <c r="S125" s="142">
        <v>5.44</v>
      </c>
      <c r="T125" s="142">
        <v>0.03</v>
      </c>
      <c r="U125" s="142">
        <v>-0.77</v>
      </c>
      <c r="V125" s="142">
        <v>-1.8</v>
      </c>
      <c r="W125" s="142">
        <v>0.3</v>
      </c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120"/>
      <c r="BC125" s="25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</row>
    <row r="126" spans="1:200" ht="15" customHeight="1" x14ac:dyDescent="0.2">
      <c r="A126" s="2"/>
      <c r="B126" s="24" t="str">
        <f t="shared" si="3"/>
        <v>[ROW:NOV_2025]</v>
      </c>
      <c r="C126" s="29">
        <f>IF(OR(Client_Info!$D$14="",Client_Info!$D$15=""),"",IF(EOMONTH(Client_Info!$D$14,118)&lt;=Client_Info!$D$15,EOMONTH(Client_Info!$D$14,118),""))</f>
        <v>45991</v>
      </c>
      <c r="D126" s="142">
        <v>5.92</v>
      </c>
      <c r="E126" s="142">
        <v>5.81</v>
      </c>
      <c r="F126" s="142">
        <v>7.92</v>
      </c>
      <c r="G126" s="142">
        <v>2.66</v>
      </c>
      <c r="H126" s="142">
        <v>1.97</v>
      </c>
      <c r="I126" s="142">
        <v>16.46</v>
      </c>
      <c r="J126" s="142">
        <v>-1.35</v>
      </c>
      <c r="K126" s="142">
        <v>-1.23</v>
      </c>
      <c r="L126" s="142">
        <v>0.95</v>
      </c>
      <c r="M126" s="142">
        <v>4.76</v>
      </c>
      <c r="N126" s="142">
        <v>6.93</v>
      </c>
      <c r="O126" s="142">
        <v>1.58</v>
      </c>
      <c r="P126" s="142">
        <v>2.48</v>
      </c>
      <c r="Q126" s="142">
        <v>3.27</v>
      </c>
      <c r="R126" s="142">
        <v>0.01</v>
      </c>
      <c r="S126" s="142">
        <v>0.96</v>
      </c>
      <c r="T126" s="142">
        <v>1.51</v>
      </c>
      <c r="U126" s="142">
        <v>1.98</v>
      </c>
      <c r="V126" s="142">
        <v>1.29</v>
      </c>
      <c r="W126" s="142">
        <v>0.25</v>
      </c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120"/>
      <c r="BC126" s="25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</row>
    <row r="127" spans="1:200" ht="15" customHeight="1" x14ac:dyDescent="0.2">
      <c r="A127" s="2"/>
      <c r="B127" s="24" t="str">
        <f t="shared" si="3"/>
        <v>[ROW:DEC_2025]</v>
      </c>
      <c r="C127" s="29">
        <f>IF(OR(Client_Info!$D$14="",Client_Info!$D$15=""),"",IF(EOMONTH(Client_Info!$D$14,119)&lt;=Client_Info!$D$15,EOMONTH(Client_Info!$D$14,119),""))</f>
        <v>46022</v>
      </c>
      <c r="D127" s="142">
        <v>3.88</v>
      </c>
      <c r="E127" s="142">
        <v>3.06</v>
      </c>
      <c r="F127" s="142">
        <v>5.19</v>
      </c>
      <c r="G127" s="142">
        <v>-2.23</v>
      </c>
      <c r="H127" s="142">
        <v>-2.81</v>
      </c>
      <c r="I127" s="142">
        <v>5.38</v>
      </c>
      <c r="J127" s="142">
        <v>1.17</v>
      </c>
      <c r="K127" s="142">
        <v>1.34</v>
      </c>
      <c r="L127" s="142">
        <v>0.02</v>
      </c>
      <c r="M127" s="142">
        <v>1.32</v>
      </c>
      <c r="N127" s="142">
        <v>7</v>
      </c>
      <c r="O127" s="142">
        <v>2.31</v>
      </c>
      <c r="P127" s="142">
        <v>1.73</v>
      </c>
      <c r="Q127" s="142">
        <v>6.3</v>
      </c>
      <c r="R127" s="142">
        <v>-7.0000000000000007E-2</v>
      </c>
      <c r="S127" s="142">
        <v>1.4</v>
      </c>
      <c r="T127" s="142">
        <v>0.04</v>
      </c>
      <c r="U127" s="142">
        <v>0.36</v>
      </c>
      <c r="V127" s="142">
        <v>0.12</v>
      </c>
      <c r="W127" s="142">
        <v>0.35</v>
      </c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120"/>
      <c r="BC127" s="25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</row>
    <row r="128" spans="1:200" ht="15" customHeight="1" x14ac:dyDescent="0.2">
      <c r="A128" s="2"/>
      <c r="B128" s="24" t="str">
        <f t="shared" si="3"/>
        <v/>
      </c>
      <c r="C128" s="29" t="str">
        <f>IF(OR(Client_Info!$D$14="",Client_Info!$D$15=""),"",IF(EOMONTH(Client_Info!$D$14,120)&lt;=Client_Info!$D$15,EOMONTH(Client_Info!$D$14,120),""))</f>
        <v/>
      </c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120"/>
      <c r="BC128" s="25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</row>
    <row r="129" spans="1:200" ht="15" customHeight="1" x14ac:dyDescent="0.2">
      <c r="A129" s="2"/>
      <c r="B129" s="24" t="str">
        <f t="shared" si="3"/>
        <v/>
      </c>
      <c r="C129" s="29" t="str">
        <f>IF(OR(Client_Info!$D$14="",Client_Info!$D$15=""),"",IF(EOMONTH(Client_Info!$D$14,121)&lt;=Client_Info!$D$15,EOMONTH(Client_Info!$D$14,121),""))</f>
        <v/>
      </c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120"/>
      <c r="BC129" s="25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</row>
    <row r="130" spans="1:200" ht="15" customHeight="1" x14ac:dyDescent="0.2">
      <c r="A130" s="2"/>
      <c r="B130" s="24" t="str">
        <f t="shared" si="3"/>
        <v/>
      </c>
      <c r="C130" s="29" t="str">
        <f>IF(OR(Client_Info!$D$14="",Client_Info!$D$15=""),"",IF(EOMONTH(Client_Info!$D$14,122)&lt;=Client_Info!$D$15,EOMONTH(Client_Info!$D$14,122),""))</f>
        <v/>
      </c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120"/>
      <c r="BC130" s="25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</row>
    <row r="131" spans="1:200" ht="15" customHeight="1" x14ac:dyDescent="0.2">
      <c r="A131" s="2"/>
      <c r="B131" s="24" t="str">
        <f t="shared" si="3"/>
        <v/>
      </c>
      <c r="C131" s="29" t="str">
        <f>IF(OR(Client_Info!$D$14="",Client_Info!$D$15=""),"",IF(EOMONTH(Client_Info!$D$14,123)&lt;=Client_Info!$D$15,EOMONTH(Client_Info!$D$14,123),""))</f>
        <v/>
      </c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120"/>
      <c r="BC131" s="25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</row>
    <row r="132" spans="1:200" ht="15" customHeight="1" x14ac:dyDescent="0.2">
      <c r="A132" s="2"/>
      <c r="B132" s="24" t="str">
        <f t="shared" si="3"/>
        <v/>
      </c>
      <c r="C132" s="29" t="str">
        <f>IF(OR(Client_Info!$D$14="",Client_Info!$D$15=""),"",IF(EOMONTH(Client_Info!$D$14,124)&lt;=Client_Info!$D$15,EOMONTH(Client_Info!$D$14,124),""))</f>
        <v/>
      </c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120"/>
      <c r="BC132" s="25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</row>
    <row r="133" spans="1:200" ht="15" customHeight="1" x14ac:dyDescent="0.2">
      <c r="A133" s="2"/>
      <c r="B133" s="24" t="str">
        <f t="shared" si="3"/>
        <v/>
      </c>
      <c r="C133" s="29" t="str">
        <f>IF(OR(Client_Info!$D$14="",Client_Info!$D$15=""),"",IF(EOMONTH(Client_Info!$D$14,125)&lt;=Client_Info!$D$15,EOMONTH(Client_Info!$D$14,125),""))</f>
        <v/>
      </c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120"/>
      <c r="BC133" s="25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</row>
    <row r="134" spans="1:200" ht="15" customHeight="1" x14ac:dyDescent="0.2">
      <c r="A134" s="2"/>
      <c r="B134" s="24" t="str">
        <f t="shared" si="3"/>
        <v/>
      </c>
      <c r="C134" s="29" t="str">
        <f>IF(OR(Client_Info!$D$14="",Client_Info!$D$15=""),"",IF(EOMONTH(Client_Info!$D$14,126)&lt;=Client_Info!$D$15,EOMONTH(Client_Info!$D$14,126),""))</f>
        <v/>
      </c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120"/>
      <c r="BC134" s="25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</row>
    <row r="135" spans="1:200" ht="15" customHeight="1" x14ac:dyDescent="0.2">
      <c r="A135" s="2"/>
      <c r="B135" s="24" t="str">
        <f t="shared" si="3"/>
        <v/>
      </c>
      <c r="C135" s="29" t="str">
        <f>IF(OR(Client_Info!$D$14="",Client_Info!$D$15=""),"",IF(EOMONTH(Client_Info!$D$14,127)&lt;=Client_Info!$D$15,EOMONTH(Client_Info!$D$14,127),""))</f>
        <v/>
      </c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120"/>
      <c r="BC135" s="25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</row>
    <row r="136" spans="1:200" ht="15" customHeight="1" x14ac:dyDescent="0.2">
      <c r="A136" s="2"/>
      <c r="B136" s="24" t="str">
        <f t="shared" ref="B136:B167" si="4">IF(C136="","","[ROW:"&amp;UPPER(TEXT(C136,"MMM"))&amp;"_"&amp;TEXT(C136,"YYYY")&amp;"]")</f>
        <v/>
      </c>
      <c r="C136" s="29" t="str">
        <f>IF(OR(Client_Info!$D$14="",Client_Info!$D$15=""),"",IF(EOMONTH(Client_Info!$D$14,128)&lt;=Client_Info!$D$15,EOMONTH(Client_Info!$D$14,128),""))</f>
        <v/>
      </c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120"/>
      <c r="BC136" s="25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</row>
    <row r="137" spans="1:200" ht="15" customHeight="1" x14ac:dyDescent="0.2">
      <c r="A137" s="2"/>
      <c r="B137" s="24" t="str">
        <f t="shared" si="4"/>
        <v/>
      </c>
      <c r="C137" s="29" t="str">
        <f>IF(OR(Client_Info!$D$14="",Client_Info!$D$15=""),"",IF(EOMONTH(Client_Info!$D$14,129)&lt;=Client_Info!$D$15,EOMONTH(Client_Info!$D$14,129),""))</f>
        <v/>
      </c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120"/>
      <c r="BC137" s="25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</row>
    <row r="138" spans="1:200" ht="15" customHeight="1" x14ac:dyDescent="0.2">
      <c r="A138" s="2"/>
      <c r="B138" s="24" t="str">
        <f t="shared" si="4"/>
        <v/>
      </c>
      <c r="C138" s="29" t="str">
        <f>IF(OR(Client_Info!$D$14="",Client_Info!$D$15=""),"",IF(EOMONTH(Client_Info!$D$14,130)&lt;=Client_Info!$D$15,EOMONTH(Client_Info!$D$14,130),""))</f>
        <v/>
      </c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120"/>
      <c r="BC138" s="25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</row>
    <row r="139" spans="1:200" ht="15" customHeight="1" x14ac:dyDescent="0.2">
      <c r="A139" s="2"/>
      <c r="B139" s="24" t="str">
        <f t="shared" si="4"/>
        <v/>
      </c>
      <c r="C139" s="29" t="str">
        <f>IF(OR(Client_Info!$D$14="",Client_Info!$D$15=""),"",IF(EOMONTH(Client_Info!$D$14,131)&lt;=Client_Info!$D$15,EOMONTH(Client_Info!$D$14,131),""))</f>
        <v/>
      </c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120"/>
      <c r="BC139" s="25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</row>
    <row r="140" spans="1:200" ht="15" customHeight="1" x14ac:dyDescent="0.2">
      <c r="A140" s="2"/>
      <c r="B140" s="24" t="str">
        <f t="shared" si="4"/>
        <v/>
      </c>
      <c r="C140" s="29" t="str">
        <f>IF(OR(Client_Info!$D$14="",Client_Info!$D$15=""),"",IF(EOMONTH(Client_Info!$D$14,132)&lt;=Client_Info!$D$15,EOMONTH(Client_Info!$D$14,132),""))</f>
        <v/>
      </c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120"/>
      <c r="BC140" s="25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</row>
    <row r="141" spans="1:200" ht="15" customHeight="1" x14ac:dyDescent="0.2">
      <c r="A141" s="2"/>
      <c r="B141" s="24" t="str">
        <f t="shared" si="4"/>
        <v/>
      </c>
      <c r="C141" s="29" t="str">
        <f>IF(OR(Client_Info!$D$14="",Client_Info!$D$15=""),"",IF(EOMONTH(Client_Info!$D$14,133)&lt;=Client_Info!$D$15,EOMONTH(Client_Info!$D$14,133),""))</f>
        <v/>
      </c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120"/>
      <c r="BC141" s="25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</row>
    <row r="142" spans="1:200" ht="15" customHeight="1" x14ac:dyDescent="0.2">
      <c r="A142" s="2"/>
      <c r="B142" s="24" t="str">
        <f t="shared" si="4"/>
        <v/>
      </c>
      <c r="C142" s="29" t="str">
        <f>IF(OR(Client_Info!$D$14="",Client_Info!$D$15=""),"",IF(EOMONTH(Client_Info!$D$14,134)&lt;=Client_Info!$D$15,EOMONTH(Client_Info!$D$14,134),""))</f>
        <v/>
      </c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120"/>
      <c r="BC142" s="25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</row>
    <row r="143" spans="1:200" ht="15" customHeight="1" x14ac:dyDescent="0.2">
      <c r="A143" s="2"/>
      <c r="B143" s="24" t="str">
        <f t="shared" si="4"/>
        <v/>
      </c>
      <c r="C143" s="29" t="str">
        <f>IF(OR(Client_Info!$D$14="",Client_Info!$D$15=""),"",IF(EOMONTH(Client_Info!$D$14,135)&lt;=Client_Info!$D$15,EOMONTH(Client_Info!$D$14,135),""))</f>
        <v/>
      </c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120"/>
      <c r="BC143" s="25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</row>
    <row r="144" spans="1:200" ht="15" customHeight="1" x14ac:dyDescent="0.2">
      <c r="A144" s="2"/>
      <c r="B144" s="24" t="str">
        <f t="shared" si="4"/>
        <v/>
      </c>
      <c r="C144" s="29" t="str">
        <f>IF(OR(Client_Info!$D$14="",Client_Info!$D$15=""),"",IF(EOMONTH(Client_Info!$D$14,136)&lt;=Client_Info!$D$15,EOMONTH(Client_Info!$D$14,136),""))</f>
        <v/>
      </c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120"/>
      <c r="BC144" s="25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</row>
    <row r="145" spans="1:200" ht="15" customHeight="1" x14ac:dyDescent="0.2">
      <c r="A145" s="2"/>
      <c r="B145" s="24" t="str">
        <f t="shared" si="4"/>
        <v/>
      </c>
      <c r="C145" s="29" t="str">
        <f>IF(OR(Client_Info!$D$14="",Client_Info!$D$15=""),"",IF(EOMONTH(Client_Info!$D$14,137)&lt;=Client_Info!$D$15,EOMONTH(Client_Info!$D$14,137),""))</f>
        <v/>
      </c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120"/>
      <c r="BC145" s="25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</row>
    <row r="146" spans="1:200" ht="15" customHeight="1" x14ac:dyDescent="0.2">
      <c r="A146" s="2"/>
      <c r="B146" s="24" t="str">
        <f t="shared" si="4"/>
        <v/>
      </c>
      <c r="C146" s="29" t="str">
        <f>IF(OR(Client_Info!$D$14="",Client_Info!$D$15=""),"",IF(EOMONTH(Client_Info!$D$14,138)&lt;=Client_Info!$D$15,EOMONTH(Client_Info!$D$14,138),""))</f>
        <v/>
      </c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120"/>
      <c r="BC146" s="25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</row>
    <row r="147" spans="1:200" ht="15" customHeight="1" x14ac:dyDescent="0.2">
      <c r="A147" s="2"/>
      <c r="B147" s="24" t="str">
        <f t="shared" si="4"/>
        <v/>
      </c>
      <c r="C147" s="29" t="str">
        <f>IF(OR(Client_Info!$D$14="",Client_Info!$D$15=""),"",IF(EOMONTH(Client_Info!$D$14,139)&lt;=Client_Info!$D$15,EOMONTH(Client_Info!$D$14,139),""))</f>
        <v/>
      </c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120"/>
      <c r="BC147" s="25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</row>
    <row r="148" spans="1:200" ht="15" customHeight="1" x14ac:dyDescent="0.2">
      <c r="A148" s="2"/>
      <c r="B148" s="24" t="str">
        <f t="shared" si="4"/>
        <v/>
      </c>
      <c r="C148" s="29" t="str">
        <f>IF(OR(Client_Info!$D$14="",Client_Info!$D$15=""),"",IF(EOMONTH(Client_Info!$D$14,140)&lt;=Client_Info!$D$15,EOMONTH(Client_Info!$D$14,140),""))</f>
        <v/>
      </c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120"/>
      <c r="BC148" s="25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</row>
    <row r="149" spans="1:200" ht="15" customHeight="1" x14ac:dyDescent="0.2">
      <c r="A149" s="2"/>
      <c r="B149" s="24" t="str">
        <f t="shared" si="4"/>
        <v/>
      </c>
      <c r="C149" s="29" t="str">
        <f>IF(OR(Client_Info!$D$14="",Client_Info!$D$15=""),"",IF(EOMONTH(Client_Info!$D$14,141)&lt;=Client_Info!$D$15,EOMONTH(Client_Info!$D$14,141),""))</f>
        <v/>
      </c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120"/>
      <c r="BC149" s="25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</row>
    <row r="150" spans="1:200" ht="15" customHeight="1" x14ac:dyDescent="0.2">
      <c r="A150" s="2"/>
      <c r="B150" s="24" t="str">
        <f t="shared" si="4"/>
        <v/>
      </c>
      <c r="C150" s="29" t="str">
        <f>IF(OR(Client_Info!$D$14="",Client_Info!$D$15=""),"",IF(EOMONTH(Client_Info!$D$14,142)&lt;=Client_Info!$D$15,EOMONTH(Client_Info!$D$14,142),""))</f>
        <v/>
      </c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120"/>
      <c r="BC150" s="25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</row>
    <row r="151" spans="1:200" ht="15" customHeight="1" x14ac:dyDescent="0.2">
      <c r="A151" s="2"/>
      <c r="B151" s="24" t="str">
        <f t="shared" si="4"/>
        <v/>
      </c>
      <c r="C151" s="29" t="str">
        <f>IF(OR(Client_Info!$D$14="",Client_Info!$D$15=""),"",IF(EOMONTH(Client_Info!$D$14,143)&lt;=Client_Info!$D$15,EOMONTH(Client_Info!$D$14,143),""))</f>
        <v/>
      </c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120"/>
      <c r="BC151" s="25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</row>
    <row r="152" spans="1:200" ht="15" customHeight="1" x14ac:dyDescent="0.2">
      <c r="A152" s="2"/>
      <c r="B152" s="24" t="str">
        <f t="shared" si="4"/>
        <v/>
      </c>
      <c r="C152" s="29" t="str">
        <f>IF(OR(Client_Info!$D$14="",Client_Info!$D$15=""),"",IF(EOMONTH(Client_Info!$D$14,144)&lt;=Client_Info!$D$15,EOMONTH(Client_Info!$D$14,144),""))</f>
        <v/>
      </c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120"/>
      <c r="BC152" s="25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</row>
    <row r="153" spans="1:200" ht="15" customHeight="1" x14ac:dyDescent="0.2">
      <c r="A153" s="2"/>
      <c r="B153" s="24" t="str">
        <f t="shared" si="4"/>
        <v/>
      </c>
      <c r="C153" s="29" t="str">
        <f>IF(OR(Client_Info!$D$14="",Client_Info!$D$15=""),"",IF(EOMONTH(Client_Info!$D$14,145)&lt;=Client_Info!$D$15,EOMONTH(Client_Info!$D$14,145),""))</f>
        <v/>
      </c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120"/>
      <c r="BC153" s="25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</row>
    <row r="154" spans="1:200" ht="15" customHeight="1" x14ac:dyDescent="0.2">
      <c r="A154" s="2"/>
      <c r="B154" s="24" t="str">
        <f t="shared" si="4"/>
        <v/>
      </c>
      <c r="C154" s="29" t="str">
        <f>IF(OR(Client_Info!$D$14="",Client_Info!$D$15=""),"",IF(EOMONTH(Client_Info!$D$14,146)&lt;=Client_Info!$D$15,EOMONTH(Client_Info!$D$14,146),""))</f>
        <v/>
      </c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120"/>
      <c r="BC154" s="25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</row>
    <row r="155" spans="1:200" ht="15" customHeight="1" x14ac:dyDescent="0.2">
      <c r="A155" s="2"/>
      <c r="B155" s="24" t="str">
        <f t="shared" si="4"/>
        <v/>
      </c>
      <c r="C155" s="29" t="str">
        <f>IF(OR(Client_Info!$D$14="",Client_Info!$D$15=""),"",IF(EOMONTH(Client_Info!$D$14,147)&lt;=Client_Info!$D$15,EOMONTH(Client_Info!$D$14,147),""))</f>
        <v/>
      </c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120"/>
      <c r="BC155" s="25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</row>
    <row r="156" spans="1:200" ht="15" customHeight="1" x14ac:dyDescent="0.2">
      <c r="A156" s="2"/>
      <c r="B156" s="24" t="str">
        <f t="shared" si="4"/>
        <v/>
      </c>
      <c r="C156" s="29" t="str">
        <f>IF(OR(Client_Info!$D$14="",Client_Info!$D$15=""),"",IF(EOMONTH(Client_Info!$D$14,148)&lt;=Client_Info!$D$15,EOMONTH(Client_Info!$D$14,148),""))</f>
        <v/>
      </c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120"/>
      <c r="BC156" s="25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</row>
    <row r="157" spans="1:200" ht="15" customHeight="1" x14ac:dyDescent="0.2">
      <c r="A157" s="2"/>
      <c r="B157" s="24" t="str">
        <f t="shared" si="4"/>
        <v/>
      </c>
      <c r="C157" s="29" t="str">
        <f>IF(OR(Client_Info!$D$14="",Client_Info!$D$15=""),"",IF(EOMONTH(Client_Info!$D$14,149)&lt;=Client_Info!$D$15,EOMONTH(Client_Info!$D$14,149),""))</f>
        <v/>
      </c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120"/>
      <c r="BC157" s="25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</row>
    <row r="158" spans="1:200" ht="15" customHeight="1" x14ac:dyDescent="0.2">
      <c r="A158" s="2"/>
      <c r="B158" s="24" t="str">
        <f t="shared" si="4"/>
        <v/>
      </c>
      <c r="C158" s="29" t="str">
        <f>IF(OR(Client_Info!$D$14="",Client_Info!$D$15=""),"",IF(EOMONTH(Client_Info!$D$14,150)&lt;=Client_Info!$D$15,EOMONTH(Client_Info!$D$14,150),""))</f>
        <v/>
      </c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120"/>
      <c r="BC158" s="25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</row>
    <row r="159" spans="1:200" ht="15" customHeight="1" x14ac:dyDescent="0.2">
      <c r="A159" s="2"/>
      <c r="B159" s="24" t="str">
        <f t="shared" si="4"/>
        <v/>
      </c>
      <c r="C159" s="29" t="str">
        <f>IF(OR(Client_Info!$D$14="",Client_Info!$D$15=""),"",IF(EOMONTH(Client_Info!$D$14,151)&lt;=Client_Info!$D$15,EOMONTH(Client_Info!$D$14,151),""))</f>
        <v/>
      </c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120"/>
      <c r="BC159" s="25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</row>
    <row r="160" spans="1:200" ht="15" customHeight="1" x14ac:dyDescent="0.2">
      <c r="A160" s="2"/>
      <c r="B160" s="24" t="str">
        <f t="shared" si="4"/>
        <v/>
      </c>
      <c r="C160" s="29" t="str">
        <f>IF(OR(Client_Info!$D$14="",Client_Info!$D$15=""),"",IF(EOMONTH(Client_Info!$D$14,152)&lt;=Client_Info!$D$15,EOMONTH(Client_Info!$D$14,152),""))</f>
        <v/>
      </c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120"/>
      <c r="BC160" s="25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</row>
    <row r="161" spans="1:200" ht="15" customHeight="1" x14ac:dyDescent="0.2">
      <c r="A161" s="2"/>
      <c r="B161" s="24" t="str">
        <f t="shared" si="4"/>
        <v/>
      </c>
      <c r="C161" s="29" t="str">
        <f>IF(OR(Client_Info!$D$14="",Client_Info!$D$15=""),"",IF(EOMONTH(Client_Info!$D$14,153)&lt;=Client_Info!$D$15,EOMONTH(Client_Info!$D$14,153),""))</f>
        <v/>
      </c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120"/>
      <c r="BC161" s="25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</row>
    <row r="162" spans="1:200" ht="15" customHeight="1" x14ac:dyDescent="0.2">
      <c r="A162" s="2"/>
      <c r="B162" s="24" t="str">
        <f t="shared" si="4"/>
        <v/>
      </c>
      <c r="C162" s="29" t="str">
        <f>IF(OR(Client_Info!$D$14="",Client_Info!$D$15=""),"",IF(EOMONTH(Client_Info!$D$14,154)&lt;=Client_Info!$D$15,EOMONTH(Client_Info!$D$14,154),""))</f>
        <v/>
      </c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120"/>
      <c r="BC162" s="25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</row>
    <row r="163" spans="1:200" ht="15" customHeight="1" x14ac:dyDescent="0.2">
      <c r="A163" s="2"/>
      <c r="B163" s="24" t="str">
        <f t="shared" si="4"/>
        <v/>
      </c>
      <c r="C163" s="29" t="str">
        <f>IF(OR(Client_Info!$D$14="",Client_Info!$D$15=""),"",IF(EOMONTH(Client_Info!$D$14,155)&lt;=Client_Info!$D$15,EOMONTH(Client_Info!$D$14,155),""))</f>
        <v/>
      </c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120"/>
      <c r="BC163" s="25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</row>
    <row r="164" spans="1:200" ht="15" customHeight="1" x14ac:dyDescent="0.2">
      <c r="A164" s="2"/>
      <c r="B164" s="24" t="str">
        <f t="shared" si="4"/>
        <v/>
      </c>
      <c r="C164" s="29" t="str">
        <f>IF(OR(Client_Info!$D$14="",Client_Info!$D$15=""),"",IF(EOMONTH(Client_Info!$D$14,156)&lt;=Client_Info!$D$15,EOMONTH(Client_Info!$D$14,156),""))</f>
        <v/>
      </c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120"/>
      <c r="BC164" s="25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</row>
    <row r="165" spans="1:200" ht="15" customHeight="1" x14ac:dyDescent="0.2">
      <c r="A165" s="2"/>
      <c r="B165" s="24" t="str">
        <f t="shared" si="4"/>
        <v/>
      </c>
      <c r="C165" s="29" t="str">
        <f>IF(OR(Client_Info!$D$14="",Client_Info!$D$15=""),"",IF(EOMONTH(Client_Info!$D$14,157)&lt;=Client_Info!$D$15,EOMONTH(Client_Info!$D$14,157),""))</f>
        <v/>
      </c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120"/>
      <c r="BC165" s="25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</row>
    <row r="166" spans="1:200" ht="15" customHeight="1" x14ac:dyDescent="0.2">
      <c r="A166" s="2"/>
      <c r="B166" s="24" t="str">
        <f t="shared" si="4"/>
        <v/>
      </c>
      <c r="C166" s="29" t="str">
        <f>IF(OR(Client_Info!$D$14="",Client_Info!$D$15=""),"",IF(EOMONTH(Client_Info!$D$14,158)&lt;=Client_Info!$D$15,EOMONTH(Client_Info!$D$14,158),""))</f>
        <v/>
      </c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120"/>
      <c r="BC166" s="25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</row>
    <row r="167" spans="1:200" ht="15" customHeight="1" x14ac:dyDescent="0.2">
      <c r="A167" s="2"/>
      <c r="B167" s="24" t="str">
        <f t="shared" si="4"/>
        <v/>
      </c>
      <c r="C167" s="29" t="str">
        <f>IF(OR(Client_Info!$D$14="",Client_Info!$D$15=""),"",IF(EOMONTH(Client_Info!$D$14,159)&lt;=Client_Info!$D$15,EOMONTH(Client_Info!$D$14,159),""))</f>
        <v/>
      </c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120"/>
      <c r="BC167" s="25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</row>
    <row r="168" spans="1:200" ht="15" customHeight="1" x14ac:dyDescent="0.2">
      <c r="A168" s="2"/>
      <c r="B168" s="24" t="str">
        <f t="shared" ref="B168:B199" si="5">IF(C168="","","[ROW:"&amp;UPPER(TEXT(C168,"MMM"))&amp;"_"&amp;TEXT(C168,"YYYY")&amp;"]")</f>
        <v/>
      </c>
      <c r="C168" s="29" t="str">
        <f>IF(OR(Client_Info!$D$14="",Client_Info!$D$15=""),"",IF(EOMONTH(Client_Info!$D$14,160)&lt;=Client_Info!$D$15,EOMONTH(Client_Info!$D$14,160),""))</f>
        <v/>
      </c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120"/>
      <c r="BC168" s="25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</row>
    <row r="169" spans="1:200" ht="15" customHeight="1" x14ac:dyDescent="0.2">
      <c r="A169" s="2"/>
      <c r="B169" s="24" t="str">
        <f t="shared" si="5"/>
        <v/>
      </c>
      <c r="C169" s="29" t="str">
        <f>IF(OR(Client_Info!$D$14="",Client_Info!$D$15=""),"",IF(EOMONTH(Client_Info!$D$14,161)&lt;=Client_Info!$D$15,EOMONTH(Client_Info!$D$14,161),""))</f>
        <v/>
      </c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120"/>
      <c r="BC169" s="25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</row>
    <row r="170" spans="1:200" ht="15" customHeight="1" x14ac:dyDescent="0.2">
      <c r="A170" s="2"/>
      <c r="B170" s="24" t="str">
        <f t="shared" si="5"/>
        <v/>
      </c>
      <c r="C170" s="29" t="str">
        <f>IF(OR(Client_Info!$D$14="",Client_Info!$D$15=""),"",IF(EOMONTH(Client_Info!$D$14,162)&lt;=Client_Info!$D$15,EOMONTH(Client_Info!$D$14,162),""))</f>
        <v/>
      </c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120"/>
      <c r="BC170" s="25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</row>
    <row r="171" spans="1:200" ht="15" customHeight="1" x14ac:dyDescent="0.2">
      <c r="A171" s="2"/>
      <c r="B171" s="24" t="str">
        <f t="shared" si="5"/>
        <v/>
      </c>
      <c r="C171" s="29" t="str">
        <f>IF(OR(Client_Info!$D$14="",Client_Info!$D$15=""),"",IF(EOMONTH(Client_Info!$D$14,163)&lt;=Client_Info!$D$15,EOMONTH(Client_Info!$D$14,163),""))</f>
        <v/>
      </c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120"/>
      <c r="BC171" s="25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</row>
    <row r="172" spans="1:200" ht="15" customHeight="1" x14ac:dyDescent="0.2">
      <c r="A172" s="2"/>
      <c r="B172" s="24" t="str">
        <f t="shared" si="5"/>
        <v/>
      </c>
      <c r="C172" s="29" t="str">
        <f>IF(OR(Client_Info!$D$14="",Client_Info!$D$15=""),"",IF(EOMONTH(Client_Info!$D$14,164)&lt;=Client_Info!$D$15,EOMONTH(Client_Info!$D$14,164),""))</f>
        <v/>
      </c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120"/>
      <c r="BC172" s="25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</row>
    <row r="173" spans="1:200" ht="15" customHeight="1" x14ac:dyDescent="0.2">
      <c r="A173" s="2"/>
      <c r="B173" s="24" t="str">
        <f t="shared" si="5"/>
        <v/>
      </c>
      <c r="C173" s="29" t="str">
        <f>IF(OR(Client_Info!$D$14="",Client_Info!$D$15=""),"",IF(EOMONTH(Client_Info!$D$14,165)&lt;=Client_Info!$D$15,EOMONTH(Client_Info!$D$14,165),""))</f>
        <v/>
      </c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120"/>
      <c r="BC173" s="25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</row>
    <row r="174" spans="1:200" ht="15" customHeight="1" x14ac:dyDescent="0.2">
      <c r="A174" s="2"/>
      <c r="B174" s="24" t="str">
        <f t="shared" si="5"/>
        <v/>
      </c>
      <c r="C174" s="29" t="str">
        <f>IF(OR(Client_Info!$D$14="",Client_Info!$D$15=""),"",IF(EOMONTH(Client_Info!$D$14,166)&lt;=Client_Info!$D$15,EOMONTH(Client_Info!$D$14,166),""))</f>
        <v/>
      </c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120"/>
      <c r="BC174" s="25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</row>
    <row r="175" spans="1:200" ht="15" customHeight="1" x14ac:dyDescent="0.2">
      <c r="A175" s="2"/>
      <c r="B175" s="24" t="str">
        <f t="shared" si="5"/>
        <v/>
      </c>
      <c r="C175" s="29" t="str">
        <f>IF(OR(Client_Info!$D$14="",Client_Info!$D$15=""),"",IF(EOMONTH(Client_Info!$D$14,167)&lt;=Client_Info!$D$15,EOMONTH(Client_Info!$D$14,167),""))</f>
        <v/>
      </c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120"/>
      <c r="BC175" s="25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</row>
    <row r="176" spans="1:200" ht="15" customHeight="1" x14ac:dyDescent="0.2">
      <c r="A176" s="2"/>
      <c r="B176" s="24" t="str">
        <f t="shared" si="5"/>
        <v/>
      </c>
      <c r="C176" s="29" t="str">
        <f>IF(OR(Client_Info!$D$14="",Client_Info!$D$15=""),"",IF(EOMONTH(Client_Info!$D$14,168)&lt;=Client_Info!$D$15,EOMONTH(Client_Info!$D$14,168),""))</f>
        <v/>
      </c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120"/>
      <c r="BC176" s="25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</row>
    <row r="177" spans="1:200" ht="15" customHeight="1" x14ac:dyDescent="0.2">
      <c r="A177" s="2"/>
      <c r="B177" s="24" t="str">
        <f t="shared" si="5"/>
        <v/>
      </c>
      <c r="C177" s="29" t="str">
        <f>IF(OR(Client_Info!$D$14="",Client_Info!$D$15=""),"",IF(EOMONTH(Client_Info!$D$14,169)&lt;=Client_Info!$D$15,EOMONTH(Client_Info!$D$14,169),""))</f>
        <v/>
      </c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120"/>
      <c r="BC177" s="25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</row>
    <row r="178" spans="1:200" ht="15" customHeight="1" x14ac:dyDescent="0.2">
      <c r="A178" s="2"/>
      <c r="B178" s="24" t="str">
        <f t="shared" si="5"/>
        <v/>
      </c>
      <c r="C178" s="29" t="str">
        <f>IF(OR(Client_Info!$D$14="",Client_Info!$D$15=""),"",IF(EOMONTH(Client_Info!$D$14,170)&lt;=Client_Info!$D$15,EOMONTH(Client_Info!$D$14,170),""))</f>
        <v/>
      </c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120"/>
      <c r="BC178" s="25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</row>
    <row r="179" spans="1:200" ht="15" customHeight="1" x14ac:dyDescent="0.2">
      <c r="A179" s="2"/>
      <c r="B179" s="24" t="str">
        <f t="shared" si="5"/>
        <v/>
      </c>
      <c r="C179" s="29" t="str">
        <f>IF(OR(Client_Info!$D$14="",Client_Info!$D$15=""),"",IF(EOMONTH(Client_Info!$D$14,171)&lt;=Client_Info!$D$15,EOMONTH(Client_Info!$D$14,171),""))</f>
        <v/>
      </c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120"/>
      <c r="BC179" s="25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</row>
    <row r="180" spans="1:200" ht="15" customHeight="1" x14ac:dyDescent="0.2">
      <c r="A180" s="2"/>
      <c r="B180" s="24" t="str">
        <f t="shared" si="5"/>
        <v/>
      </c>
      <c r="C180" s="29" t="str">
        <f>IF(OR(Client_Info!$D$14="",Client_Info!$D$15=""),"",IF(EOMONTH(Client_Info!$D$14,172)&lt;=Client_Info!$D$15,EOMONTH(Client_Info!$D$14,172),""))</f>
        <v/>
      </c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120"/>
      <c r="BC180" s="25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</row>
    <row r="181" spans="1:200" ht="15" customHeight="1" x14ac:dyDescent="0.2">
      <c r="A181" s="2"/>
      <c r="B181" s="24" t="str">
        <f t="shared" si="5"/>
        <v/>
      </c>
      <c r="C181" s="29" t="str">
        <f>IF(OR(Client_Info!$D$14="",Client_Info!$D$15=""),"",IF(EOMONTH(Client_Info!$D$14,173)&lt;=Client_Info!$D$15,EOMONTH(Client_Info!$D$14,173),""))</f>
        <v/>
      </c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120"/>
      <c r="BC181" s="25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</row>
    <row r="182" spans="1:200" ht="15" customHeight="1" x14ac:dyDescent="0.2">
      <c r="A182" s="2"/>
      <c r="B182" s="24" t="str">
        <f t="shared" si="5"/>
        <v/>
      </c>
      <c r="C182" s="29" t="str">
        <f>IF(OR(Client_Info!$D$14="",Client_Info!$D$15=""),"",IF(EOMONTH(Client_Info!$D$14,174)&lt;=Client_Info!$D$15,EOMONTH(Client_Info!$D$14,174),""))</f>
        <v/>
      </c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120"/>
      <c r="BC182" s="25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</row>
    <row r="183" spans="1:200" ht="15" customHeight="1" x14ac:dyDescent="0.2">
      <c r="A183" s="2"/>
      <c r="B183" s="24" t="str">
        <f t="shared" si="5"/>
        <v/>
      </c>
      <c r="C183" s="29" t="str">
        <f>IF(OR(Client_Info!$D$14="",Client_Info!$D$15=""),"",IF(EOMONTH(Client_Info!$D$14,175)&lt;=Client_Info!$D$15,EOMONTH(Client_Info!$D$14,175),""))</f>
        <v/>
      </c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120"/>
      <c r="BC183" s="25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</row>
    <row r="184" spans="1:200" ht="15" customHeight="1" x14ac:dyDescent="0.2">
      <c r="A184" s="2"/>
      <c r="B184" s="24" t="str">
        <f t="shared" si="5"/>
        <v/>
      </c>
      <c r="C184" s="29" t="str">
        <f>IF(OR(Client_Info!$D$14="",Client_Info!$D$15=""),"",IF(EOMONTH(Client_Info!$D$14,176)&lt;=Client_Info!$D$15,EOMONTH(Client_Info!$D$14,176),""))</f>
        <v/>
      </c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120"/>
      <c r="BC184" s="25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</row>
    <row r="185" spans="1:200" ht="15" customHeight="1" x14ac:dyDescent="0.2">
      <c r="A185" s="2"/>
      <c r="B185" s="24" t="str">
        <f t="shared" si="5"/>
        <v/>
      </c>
      <c r="C185" s="29" t="str">
        <f>IF(OR(Client_Info!$D$14="",Client_Info!$D$15=""),"",IF(EOMONTH(Client_Info!$D$14,177)&lt;=Client_Info!$D$15,EOMONTH(Client_Info!$D$14,177),""))</f>
        <v/>
      </c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120"/>
      <c r="BC185" s="25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</row>
    <row r="186" spans="1:200" ht="15" customHeight="1" x14ac:dyDescent="0.2">
      <c r="A186" s="2"/>
      <c r="B186" s="24" t="str">
        <f t="shared" si="5"/>
        <v/>
      </c>
      <c r="C186" s="29" t="str">
        <f>IF(OR(Client_Info!$D$14="",Client_Info!$D$15=""),"",IF(EOMONTH(Client_Info!$D$14,178)&lt;=Client_Info!$D$15,EOMONTH(Client_Info!$D$14,178),""))</f>
        <v/>
      </c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120"/>
      <c r="BC186" s="25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</row>
    <row r="187" spans="1:200" ht="15" customHeight="1" x14ac:dyDescent="0.2">
      <c r="A187" s="2"/>
      <c r="B187" s="24" t="str">
        <f t="shared" si="5"/>
        <v/>
      </c>
      <c r="C187" s="29" t="str">
        <f>IF(OR(Client_Info!$D$14="",Client_Info!$D$15=""),"",IF(EOMONTH(Client_Info!$D$14,179)&lt;=Client_Info!$D$15,EOMONTH(Client_Info!$D$14,179),""))</f>
        <v/>
      </c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120"/>
      <c r="BC187" s="25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</row>
    <row r="188" spans="1:200" ht="15" customHeight="1" x14ac:dyDescent="0.2">
      <c r="A188" s="3"/>
      <c r="B188" s="3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25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</row>
    <row r="189" spans="1:200" ht="15" customHeight="1" x14ac:dyDescent="0.2">
      <c r="A189" s="3"/>
      <c r="B189" s="3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25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</row>
    <row r="190" spans="1:200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</row>
    <row r="191" spans="1:200" ht="1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</row>
    <row r="192" spans="1:200" ht="1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</row>
    <row r="193" spans="1:200" ht="1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</row>
    <row r="194" spans="1:200" ht="1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</row>
    <row r="195" spans="1:200" ht="1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</row>
    <row r="196" spans="1:200" ht="1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</row>
    <row r="197" spans="1:200" ht="1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</row>
    <row r="198" spans="1:200" ht="1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</row>
    <row r="199" spans="1:200" ht="1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</row>
    <row r="200" spans="1:200" ht="1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</row>
    <row r="201" spans="1:200" ht="1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</row>
    <row r="202" spans="1:200" ht="1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</row>
    <row r="203" spans="1:200" ht="1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</row>
    <row r="204" spans="1:200" ht="1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</row>
    <row r="205" spans="1:200" ht="1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</row>
    <row r="206" spans="1:200" ht="1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</row>
    <row r="207" spans="1:200" ht="1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</row>
    <row r="208" spans="1:200" ht="1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</row>
    <row r="209" spans="1:200" ht="1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</row>
    <row r="210" spans="1:200" ht="1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</row>
    <row r="211" spans="1:200" ht="1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</row>
    <row r="212" spans="1:200" ht="1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</row>
    <row r="213" spans="1:200" ht="1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</row>
    <row r="214" spans="1:200" ht="1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</row>
    <row r="215" spans="1:200" ht="1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</row>
    <row r="216" spans="1:200" ht="1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</row>
    <row r="217" spans="1:200" ht="1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</row>
    <row r="218" spans="1:200" ht="1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</row>
    <row r="219" spans="1:200" ht="1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</row>
    <row r="220" spans="1:200" ht="1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</row>
    <row r="221" spans="1:200" ht="1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</row>
    <row r="222" spans="1:200" ht="1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</row>
    <row r="223" spans="1:200" ht="1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</row>
    <row r="224" spans="1:200" ht="1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</row>
    <row r="225" spans="1:200" ht="1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</row>
    <row r="226" spans="1:200" ht="1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</row>
    <row r="227" spans="1:200" ht="1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</row>
    <row r="228" spans="1:200" ht="1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</row>
    <row r="229" spans="1:200" ht="1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</row>
    <row r="230" spans="1:200" ht="1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</row>
    <row r="231" spans="1:200" ht="1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</row>
    <row r="232" spans="1:200" ht="1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</row>
    <row r="233" spans="1:200" ht="1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</row>
    <row r="234" spans="1:200" ht="1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</row>
    <row r="235" spans="1:200" ht="1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</row>
    <row r="236" spans="1:200" ht="1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</row>
    <row r="237" spans="1:200" ht="1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</row>
    <row r="238" spans="1:200" ht="1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</row>
    <row r="239" spans="1:200" ht="1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</row>
    <row r="240" spans="1:200" ht="1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</row>
    <row r="241" spans="1:200" ht="1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</row>
    <row r="242" spans="1:200" ht="1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</row>
    <row r="243" spans="1:200" ht="1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</row>
    <row r="244" spans="1:200" ht="1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</row>
    <row r="245" spans="1:200" ht="1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</row>
    <row r="246" spans="1:200" ht="1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</row>
    <row r="247" spans="1:200" ht="1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</row>
    <row r="248" spans="1:200" ht="1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</row>
    <row r="249" spans="1:200" ht="1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</row>
    <row r="250" spans="1:200" ht="1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</row>
    <row r="251" spans="1:200" ht="1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</row>
    <row r="252" spans="1:200" ht="1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</row>
    <row r="253" spans="1:200" ht="1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</row>
    <row r="254" spans="1:200" ht="1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</row>
    <row r="255" spans="1:200" ht="1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</row>
    <row r="256" spans="1:200" ht="1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</row>
    <row r="257" spans="1:200" ht="1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</row>
    <row r="258" spans="1:200" ht="1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</row>
    <row r="259" spans="1:200" ht="1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</row>
    <row r="260" spans="1:200" ht="1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</row>
    <row r="261" spans="1:200" ht="1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</row>
    <row r="262" spans="1:200" ht="1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</row>
    <row r="263" spans="1:200" ht="1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</row>
    <row r="264" spans="1:200" ht="1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</row>
    <row r="265" spans="1:200" ht="1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</row>
    <row r="266" spans="1:200" ht="1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</row>
    <row r="267" spans="1:200" ht="1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</row>
    <row r="268" spans="1:200" ht="1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</row>
    <row r="269" spans="1:200" ht="1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</row>
    <row r="270" spans="1:200" ht="1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</row>
    <row r="271" spans="1:200" ht="1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</row>
    <row r="272" spans="1:200" ht="1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</row>
    <row r="273" spans="1:200" ht="1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</row>
    <row r="274" spans="1:200" ht="1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</row>
    <row r="275" spans="1:200" ht="1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</row>
    <row r="276" spans="1:200" ht="1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</row>
    <row r="277" spans="1:200" ht="1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</row>
    <row r="278" spans="1:200" ht="1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</row>
    <row r="279" spans="1:200" ht="1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</row>
    <row r="280" spans="1:200" ht="1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</row>
    <row r="281" spans="1:200" ht="1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</row>
    <row r="282" spans="1:200" ht="1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</row>
    <row r="283" spans="1:200" ht="1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</row>
    <row r="284" spans="1:200" ht="1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</row>
    <row r="285" spans="1:200" ht="1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</row>
    <row r="286" spans="1:200" ht="1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</row>
    <row r="287" spans="1:200" ht="1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</row>
    <row r="288" spans="1:200" ht="1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</row>
    <row r="289" spans="1:200" ht="1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</row>
    <row r="290" spans="1:200" ht="1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</row>
    <row r="291" spans="1:200" ht="1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</row>
    <row r="292" spans="1:200" ht="1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</row>
    <row r="293" spans="1:200" ht="1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</row>
    <row r="294" spans="1:200" ht="1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</row>
    <row r="295" spans="1:200" ht="1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</row>
    <row r="296" spans="1:200" ht="1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</row>
    <row r="297" spans="1:200" ht="1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</row>
    <row r="298" spans="1:200" ht="1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</row>
    <row r="299" spans="1:200" ht="1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</row>
    <row r="300" spans="1:200" ht="1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</row>
    <row r="301" spans="1:200" ht="1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</row>
    <row r="302" spans="1:200" ht="1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</row>
    <row r="303" spans="1:200" ht="1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</row>
    <row r="304" spans="1:200" ht="1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</row>
    <row r="305" spans="1:200" ht="1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</row>
    <row r="306" spans="1:200" ht="1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</row>
    <row r="307" spans="1:200" ht="1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</row>
    <row r="308" spans="1:200" ht="1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</row>
    <row r="309" spans="1:200" ht="1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</row>
    <row r="310" spans="1:200" ht="1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</row>
    <row r="311" spans="1:200" ht="1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</row>
    <row r="312" spans="1:200" ht="1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</row>
    <row r="313" spans="1:200" ht="1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</row>
    <row r="314" spans="1:200" ht="1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</row>
    <row r="315" spans="1:200" ht="1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</row>
    <row r="316" spans="1:200" ht="1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</row>
    <row r="317" spans="1:200" ht="1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</row>
    <row r="318" spans="1:200" ht="1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</row>
    <row r="319" spans="1:200" ht="1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</row>
    <row r="320" spans="1:200" ht="1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</row>
    <row r="321" spans="1:200" ht="1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</row>
    <row r="322" spans="1:200" ht="1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</row>
    <row r="323" spans="1:200" ht="1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</row>
    <row r="324" spans="1:200" ht="1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</row>
    <row r="325" spans="1:200" ht="1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</row>
    <row r="326" spans="1:200" ht="1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</row>
    <row r="327" spans="1:200" ht="1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</row>
    <row r="328" spans="1:200" ht="1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</row>
    <row r="329" spans="1:200" ht="1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</row>
    <row r="330" spans="1:200" ht="1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</row>
    <row r="331" spans="1:200" ht="1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</row>
    <row r="332" spans="1:200" ht="1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</row>
    <row r="333" spans="1:200" ht="1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</row>
    <row r="334" spans="1:200" ht="1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</row>
    <row r="335" spans="1:200" ht="1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</row>
    <row r="336" spans="1:200" ht="1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</row>
    <row r="337" spans="1:200" ht="1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</row>
    <row r="338" spans="1:200" ht="1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</row>
    <row r="339" spans="1:200" ht="1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</row>
    <row r="340" spans="1:200" ht="1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</row>
    <row r="341" spans="1:200" ht="1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</row>
    <row r="342" spans="1:200" ht="1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</row>
    <row r="343" spans="1:200" ht="1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</row>
    <row r="344" spans="1:200" ht="1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</row>
    <row r="345" spans="1:200" ht="1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</row>
    <row r="346" spans="1:200" ht="1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</row>
    <row r="347" spans="1:200" ht="1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</row>
    <row r="348" spans="1:200" ht="1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</row>
    <row r="349" spans="1:200" ht="1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</row>
    <row r="350" spans="1:200" ht="1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</row>
    <row r="351" spans="1:200" ht="1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</row>
    <row r="352" spans="1:200" ht="1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</row>
    <row r="353" spans="1:200" ht="1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</row>
    <row r="354" spans="1:200" ht="1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</row>
    <row r="355" spans="1:200" ht="1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</row>
    <row r="356" spans="1:200" ht="1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</row>
    <row r="357" spans="1:200" ht="1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</row>
    <row r="358" spans="1:200" ht="1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</row>
    <row r="359" spans="1:200" ht="1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</row>
    <row r="360" spans="1:200" ht="1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</row>
    <row r="361" spans="1:200" ht="1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</row>
    <row r="362" spans="1:200" ht="1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</row>
    <row r="363" spans="1:200" ht="1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</row>
    <row r="364" spans="1:200" ht="1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</row>
    <row r="365" spans="1:200" ht="1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</row>
    <row r="366" spans="1:200" ht="1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</row>
    <row r="367" spans="1:200" ht="1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</row>
    <row r="368" spans="1:200" ht="1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</row>
    <row r="369" spans="1:200" ht="1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</row>
    <row r="370" spans="1:200" ht="1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</row>
    <row r="371" spans="1:200" ht="1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</row>
    <row r="372" spans="1:200" ht="1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</row>
    <row r="373" spans="1:200" ht="1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</row>
    <row r="374" spans="1:200" ht="1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</row>
    <row r="375" spans="1:200" ht="1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</row>
    <row r="376" spans="1:200" ht="1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</row>
    <row r="377" spans="1:200" ht="1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</row>
    <row r="378" spans="1:200" ht="1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</row>
    <row r="379" spans="1:200" ht="1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</row>
    <row r="380" spans="1:200" ht="1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</row>
    <row r="381" spans="1:200" ht="1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</row>
    <row r="382" spans="1:200" ht="1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</row>
    <row r="383" spans="1:200" ht="1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</row>
    <row r="384" spans="1:200" ht="1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</row>
    <row r="385" spans="1:200" ht="1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</row>
    <row r="386" spans="1:200" ht="1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</row>
    <row r="387" spans="1:200" ht="1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</row>
    <row r="388" spans="1:200" ht="1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</row>
    <row r="389" spans="1:200" ht="1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</row>
    <row r="390" spans="1:200" ht="1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</row>
    <row r="391" spans="1:200" ht="1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</row>
    <row r="392" spans="1:200" ht="1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</row>
    <row r="393" spans="1:200" ht="1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</row>
    <row r="394" spans="1:200" ht="1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</row>
    <row r="395" spans="1:200" ht="1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</row>
    <row r="396" spans="1:200" ht="1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</row>
    <row r="397" spans="1:200" ht="1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</row>
    <row r="398" spans="1:200" ht="1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</row>
    <row r="399" spans="1:200" ht="1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</row>
    <row r="400" spans="1:200" ht="1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</row>
    <row r="401" spans="1:200" ht="1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</row>
    <row r="402" spans="1:200" ht="1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</row>
    <row r="403" spans="1:200" ht="1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</row>
    <row r="404" spans="1:200" ht="1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</row>
    <row r="405" spans="1:200" ht="1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</row>
    <row r="406" spans="1:200" ht="1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</row>
    <row r="407" spans="1:200" ht="1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</row>
    <row r="408" spans="1:200" ht="1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</row>
    <row r="409" spans="1:200" ht="1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</row>
    <row r="410" spans="1:200" ht="1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</row>
    <row r="411" spans="1:200" ht="1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</row>
    <row r="412" spans="1:200" ht="1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</row>
    <row r="413" spans="1:200" ht="1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</row>
    <row r="414" spans="1:200" ht="1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</row>
    <row r="415" spans="1:200" ht="1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</row>
    <row r="416" spans="1:200" ht="1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</row>
    <row r="417" spans="1:200" ht="1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</row>
    <row r="418" spans="1:200" ht="1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</row>
    <row r="419" spans="1:200" ht="1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</row>
    <row r="420" spans="1:200" ht="1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</row>
    <row r="421" spans="1:200" ht="1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</row>
    <row r="422" spans="1:200" ht="1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</row>
    <row r="423" spans="1:200" ht="1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</row>
    <row r="424" spans="1:200" ht="1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</row>
    <row r="425" spans="1:200" ht="1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</row>
    <row r="426" spans="1:200" ht="1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</row>
    <row r="427" spans="1:200" ht="1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</row>
    <row r="428" spans="1:200" ht="1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</row>
    <row r="429" spans="1:200" ht="1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</row>
    <row r="430" spans="1:200" ht="1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</row>
    <row r="431" spans="1:200" ht="1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</row>
    <row r="432" spans="1:200" ht="1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</row>
    <row r="433" spans="1:200" ht="1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</row>
    <row r="434" spans="1:200" ht="1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</row>
    <row r="435" spans="1:200" ht="1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</row>
    <row r="436" spans="1:200" ht="1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</row>
    <row r="437" spans="1:200" ht="1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</row>
    <row r="438" spans="1:200" ht="1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</row>
    <row r="439" spans="1:200" ht="1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</row>
    <row r="440" spans="1:200" ht="1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</row>
    <row r="441" spans="1:200" ht="1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</row>
    <row r="442" spans="1:200" ht="1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</row>
    <row r="443" spans="1:200" ht="1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</row>
    <row r="444" spans="1:200" ht="1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</row>
    <row r="445" spans="1:200" ht="1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</row>
    <row r="446" spans="1:200" ht="1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</row>
    <row r="447" spans="1:200" ht="1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</row>
    <row r="448" spans="1:200" ht="1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</row>
    <row r="449" spans="1:200" ht="1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</row>
    <row r="450" spans="1:200" ht="1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</row>
    <row r="451" spans="1:200" ht="1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</row>
    <row r="452" spans="1:200" ht="1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</row>
    <row r="453" spans="1:200" ht="1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</row>
    <row r="454" spans="1:200" ht="1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</row>
    <row r="455" spans="1:200" ht="1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</row>
    <row r="456" spans="1:200" ht="1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</row>
    <row r="457" spans="1:200" ht="1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</row>
    <row r="458" spans="1:200" ht="1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</row>
    <row r="459" spans="1:200" ht="1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</row>
    <row r="460" spans="1:200" ht="1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</row>
    <row r="461" spans="1:200" ht="1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</row>
    <row r="462" spans="1:200" ht="1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</row>
    <row r="463" spans="1:200" ht="1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</row>
    <row r="464" spans="1:200" ht="1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</row>
    <row r="465" spans="1:200" ht="1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</row>
    <row r="466" spans="1:200" ht="1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</row>
    <row r="467" spans="1:200" ht="1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</row>
    <row r="468" spans="1:200" ht="1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</row>
    <row r="469" spans="1:200" ht="1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</row>
    <row r="470" spans="1:200" ht="1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</row>
    <row r="471" spans="1:200" ht="1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</row>
    <row r="472" spans="1:200" ht="1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</row>
    <row r="473" spans="1:200" ht="1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</row>
    <row r="474" spans="1:200" ht="1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</row>
    <row r="475" spans="1:200" ht="1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</row>
    <row r="476" spans="1:200" ht="1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</row>
    <row r="477" spans="1:200" ht="1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</row>
    <row r="478" spans="1:200" ht="1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</row>
    <row r="479" spans="1:200" ht="1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</row>
    <row r="480" spans="1:200" ht="1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</row>
    <row r="481" spans="1:200" ht="1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</row>
    <row r="482" spans="1:200" ht="1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</row>
    <row r="483" spans="1:200" ht="1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</row>
    <row r="484" spans="1:200" ht="1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</row>
    <row r="485" spans="1:200" ht="1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</row>
    <row r="486" spans="1:200" ht="1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</row>
    <row r="487" spans="1:200" ht="1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</row>
    <row r="488" spans="1:200" ht="1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</row>
    <row r="489" spans="1:200" ht="1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</row>
    <row r="490" spans="1:200" ht="1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</row>
    <row r="491" spans="1:200" ht="1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</row>
    <row r="492" spans="1:200" ht="1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</row>
    <row r="493" spans="1:200" ht="1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</row>
    <row r="494" spans="1:200" ht="1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</row>
    <row r="495" spans="1:200" ht="1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</row>
    <row r="496" spans="1:200" ht="1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</row>
    <row r="497" spans="1:200" ht="1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</row>
    <row r="498" spans="1:200" ht="1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</row>
    <row r="499" spans="1:200" ht="1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</row>
    <row r="500" spans="1:200" ht="1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</row>
  </sheetData>
  <sheetProtection sheet="1"/>
  <conditionalFormatting sqref="D8:BA187">
    <cfRule type="expression" dxfId="3" priority="1">
      <formula>AND($C8&lt;&gt;"",D8="")</formula>
    </cfRule>
  </conditionalFormatting>
  <dataValidations count="1">
    <dataValidation type="decimal" allowBlank="1" errorTitle="Invalid Return" error="Return should be a whole number (e.g. 5.0 = 5%). Values outside -100% to 200% are blocked." promptTitle="Manager Return" prompt="Enter return as whole number (e.g. 5.0 = 5%)" sqref="D8:D187 E8:E187 F8:F187 G8:G187 H8:H187 I8:I187 J8:J187 K8:K187 L8:L187 M8:M187 N8:N187 O8:O187 P8:P187 Q8:Q187 R8:R187 S8:S187 T8:T187 U8:U187 V8:V187 W8:W187" xr:uid="{00000000-0002-0000-0600-000000000000}">
      <formula1>-100</formula1>
      <formula2>200</formula2>
    </dataValidation>
  </dataValidations>
  <pageMargins left="0.75" right="0.75" top="1" bottom="1" header="0.511811023622047" footer="0.511811023622047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0.59999389629810485"/>
  </sheetPr>
  <dimension ref="A1:GR500"/>
  <sheetViews>
    <sheetView zoomScaleNormal="100" workbookViewId="0">
      <pane xSplit="3" ySplit="7" topLeftCell="D95" activePane="bottomRight" state="frozen"/>
      <selection activeCell="N199" sqref="N199"/>
      <selection pane="topRight" activeCell="N199" sqref="N199"/>
      <selection pane="bottomLeft" activeCell="N199" sqref="N199"/>
      <selection pane="bottomRight" activeCell="E129" sqref="E129"/>
    </sheetView>
  </sheetViews>
  <sheetFormatPr baseColWidth="10" defaultColWidth="8.83203125" defaultRowHeight="15" customHeight="1" x14ac:dyDescent="0.2"/>
  <cols>
    <col min="1" max="1" width="2" customWidth="1"/>
    <col min="2" max="2" width="15.5" hidden="1" customWidth="1"/>
    <col min="3" max="33" width="14" customWidth="1"/>
    <col min="34" max="34" width="8.83203125" customWidth="1"/>
  </cols>
  <sheetData>
    <row r="1" spans="1:200" ht="30" customHeight="1" x14ac:dyDescent="0.2">
      <c r="A1" s="8"/>
      <c r="B1" s="9"/>
      <c r="C1" s="9"/>
      <c r="D1" s="16" t="s">
        <v>258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</row>
    <row r="2" spans="1:200" ht="15" customHeight="1" x14ac:dyDescent="0.2">
      <c r="A2" s="8"/>
      <c r="B2" s="9"/>
      <c r="C2" s="9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</row>
    <row r="3" spans="1:200" ht="15" customHeight="1" x14ac:dyDescent="0.2">
      <c r="A3" s="8"/>
      <c r="B3" s="9"/>
      <c r="C3" s="13"/>
      <c r="D3" s="27" t="s">
        <v>257</v>
      </c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</row>
    <row r="4" spans="1:200" ht="15" customHeight="1" x14ac:dyDescent="0.2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</row>
    <row r="5" spans="1:200" ht="50" customHeight="1" x14ac:dyDescent="0.2">
      <c r="A5" s="8"/>
      <c r="B5" s="12" t="s">
        <v>95</v>
      </c>
      <c r="C5" s="19"/>
      <c r="D5" s="28" t="str">
        <f>IFERROR(INDEX(_xlfn._xlws.SORT(_xlfn.UNIQUE(_xlfn._xlws.FILTER(Client_Portfolio!G6:G55,Client_Portfolio!G6:G55&lt;&gt;""))),1),"")</f>
        <v>3-Month T-Bill</v>
      </c>
      <c r="E5" s="28" t="str">
        <f>IFERROR(INDEX(_xlfn._xlws.SORT(_xlfn.UNIQUE(_xlfn._xlws.FILTER(Client_Portfolio!G6:G55,Client_Portfolio!G6:G55&lt;&gt;""))),2),"")</f>
        <v>Bloomberg US Agg</v>
      </c>
      <c r="F5" s="28" t="str">
        <f>IFERROR(INDEX(_xlfn._xlws.SORT(_xlfn.UNIQUE(_xlfn._xlws.FILTER(Client_Portfolio!G6:G55,Client_Portfolio!G6:G55&lt;&gt;""))),3),"")</f>
        <v>Cambridge PE Benchmark</v>
      </c>
      <c r="G5" s="28" t="str">
        <f>IFERROR(INDEX(_xlfn._xlws.SORT(_xlfn.UNIQUE(_xlfn._xlws.FILTER(Client_Portfolio!G6:G55,Client_Portfolio!G6:G55&lt;&gt;""))),4),"")</f>
        <v>Cambridge VC Benchmark</v>
      </c>
      <c r="H5" s="28" t="str">
        <f>IFERROR(INDEX(_xlfn._xlws.SORT(_xlfn.UNIQUE(_xlfn._xlws.FILTER(Client_Portfolio!G6:G55,Client_Portfolio!G6:G55&lt;&gt;""))),5),"")</f>
        <v>CPI + 4%</v>
      </c>
      <c r="I5" s="28" t="str">
        <f>IFERROR(INDEX(_xlfn._xlws.SORT(_xlfn.UNIQUE(_xlfn._xlws.FILTER(Client_Portfolio!G6:G55,Client_Portfolio!G6:G55&lt;&gt;""))),6),"")</f>
        <v>HFRI Equity Hedge</v>
      </c>
      <c r="J5" s="28" t="str">
        <f>IFERROR(INDEX(_xlfn._xlws.SORT(_xlfn.UNIQUE(_xlfn._xlws.FILTER(Client_Portfolio!G6:G55,Client_Portfolio!G6:G55&lt;&gt;""))),7),"")</f>
        <v>HFRI Event Driven</v>
      </c>
      <c r="K5" s="28" t="str">
        <f>IFERROR(INDEX(_xlfn._xlws.SORT(_xlfn.UNIQUE(_xlfn._xlws.FILTER(Client_Portfolio!G6:G55,Client_Portfolio!G6:G55&lt;&gt;""))),8),"")</f>
        <v>HFRI Macro</v>
      </c>
      <c r="L5" s="28" t="str">
        <f>IFERROR(INDEX(_xlfn._xlws.SORT(_xlfn.UNIQUE(_xlfn._xlws.FILTER(Client_Portfolio!G6:G55,Client_Portfolio!G6:G55&lt;&gt;""))),9),"")</f>
        <v>HFRI Multi-Strategy</v>
      </c>
      <c r="M5" s="28" t="str">
        <f>IFERROR(INDEX(_xlfn._xlws.SORT(_xlfn.UNIQUE(_xlfn._xlws.FILTER(Client_Portfolio!G6:G55,Client_Portfolio!G6:G55&lt;&gt;""))),10),"")</f>
        <v>MSCI EAFE</v>
      </c>
      <c r="N5" s="28" t="str">
        <f>IFERROR(INDEX(_xlfn._xlws.SORT(_xlfn.UNIQUE(_xlfn._xlws.FILTER(Client_Portfolio!G6:G55,Client_Portfolio!G6:G55&lt;&gt;""))),11),"")</f>
        <v>MSCI Emerging Markets</v>
      </c>
      <c r="O5" s="28" t="str">
        <f>IFERROR(INDEX(_xlfn._xlws.SORT(_xlfn.UNIQUE(_xlfn._xlws.FILTER(Client_Portfolio!G6:G55,Client_Portfolio!G6:G55&lt;&gt;""))),12),"")</f>
        <v>NCREIF ODCE</v>
      </c>
      <c r="P5" s="28" t="str">
        <f>IFERROR(INDEX(_xlfn._xlws.SORT(_xlfn.UNIQUE(_xlfn._xlws.FILTER(Client_Portfolio!G6:G55,Client_Portfolio!G6:G55&lt;&gt;""))),13),"")</f>
        <v>Russell 1000</v>
      </c>
      <c r="Q5" s="28" t="str">
        <f>IFERROR(INDEX(_xlfn._xlws.SORT(_xlfn.UNIQUE(_xlfn._xlws.FILTER(Client_Portfolio!G6:G55,Client_Portfolio!G6:G55&lt;&gt;""))),14),"")</f>
        <v>S&amp;P 500</v>
      </c>
      <c r="R5" s="28" t="str">
        <f>IFERROR(INDEX(_xlfn._xlws.SORT(_xlfn.UNIQUE(_xlfn._xlws.FILTER(Client_Portfolio!G6:G55,Client_Portfolio!G6:G55&lt;&gt;""))),15),"")</f>
        <v/>
      </c>
      <c r="S5" s="28" t="str">
        <f>IFERROR(INDEX(_xlfn._xlws.SORT(_xlfn.UNIQUE(_xlfn._xlws.FILTER(Client_Portfolio!G6:G55,Client_Portfolio!G6:G55&lt;&gt;""))),16),"")</f>
        <v/>
      </c>
      <c r="T5" s="28" t="str">
        <f>IFERROR(INDEX(_xlfn._xlws.SORT(_xlfn.UNIQUE(_xlfn._xlws.FILTER(Client_Portfolio!G6:G55,Client_Portfolio!G6:G55&lt;&gt;""))),17),"")</f>
        <v/>
      </c>
      <c r="U5" s="28" t="str">
        <f>IFERROR(INDEX(_xlfn._xlws.SORT(_xlfn.UNIQUE(_xlfn._xlws.FILTER(Client_Portfolio!G6:G55,Client_Portfolio!G6:G55&lt;&gt;""))),18),"")</f>
        <v/>
      </c>
      <c r="V5" s="28" t="str">
        <f>IFERROR(INDEX(_xlfn._xlws.SORT(_xlfn.UNIQUE(_xlfn._xlws.FILTER(Client_Portfolio!G6:G55,Client_Portfolio!G6:G55&lt;&gt;""))),19),"")</f>
        <v/>
      </c>
      <c r="W5" s="28" t="str">
        <f>IFERROR(INDEX(_xlfn._xlws.SORT(_xlfn.UNIQUE(_xlfn._xlws.FILTER(Client_Portfolio!G6:G55,Client_Portfolio!G6:G55&lt;&gt;""))),20),"")</f>
        <v/>
      </c>
      <c r="X5" s="28" t="str">
        <f>IFERROR(INDEX(_xlfn._xlws.SORT(_xlfn.UNIQUE(_xlfn._xlws.FILTER(Client_Portfolio!G6:G55,Client_Portfolio!G6:G55&lt;&gt;""))),21),"")</f>
        <v/>
      </c>
      <c r="Y5" s="28" t="str">
        <f>IFERROR(INDEX(_xlfn._xlws.SORT(_xlfn.UNIQUE(_xlfn._xlws.FILTER(Client_Portfolio!G6:G55,Client_Portfolio!G6:G55&lt;&gt;""))),22),"")</f>
        <v/>
      </c>
      <c r="Z5" s="28" t="str">
        <f>IFERROR(INDEX(_xlfn._xlws.SORT(_xlfn.UNIQUE(_xlfn._xlws.FILTER(Client_Portfolio!G6:G55,Client_Portfolio!G6:G55&lt;&gt;""))),23),"")</f>
        <v/>
      </c>
      <c r="AA5" s="28" t="str">
        <f>IFERROR(INDEX(_xlfn._xlws.SORT(_xlfn.UNIQUE(_xlfn._xlws.FILTER(Client_Portfolio!G6:G55,Client_Portfolio!G6:G55&lt;&gt;""))),24),"")</f>
        <v/>
      </c>
      <c r="AB5" s="28" t="str">
        <f>IFERROR(INDEX(_xlfn._xlws.SORT(_xlfn.UNIQUE(_xlfn._xlws.FILTER(Client_Portfolio!G6:G55,Client_Portfolio!G6:G55&lt;&gt;""))),25),"")</f>
        <v/>
      </c>
      <c r="AC5" s="28" t="str">
        <f>IFERROR(INDEX(_xlfn._xlws.SORT(_xlfn.UNIQUE(_xlfn._xlws.FILTER(Client_Portfolio!G6:G55,Client_Portfolio!G6:G55&lt;&gt;""))),26),"")</f>
        <v/>
      </c>
      <c r="AD5" s="28" t="str">
        <f>IFERROR(INDEX(_xlfn._xlws.SORT(_xlfn.UNIQUE(_xlfn._xlws.FILTER(Client_Portfolio!G6:G55,Client_Portfolio!G6:G55&lt;&gt;""))),27),"")</f>
        <v/>
      </c>
      <c r="AE5" s="28" t="str">
        <f>IFERROR(INDEX(_xlfn._xlws.SORT(_xlfn.UNIQUE(_xlfn._xlws.FILTER(Client_Portfolio!G6:G55,Client_Portfolio!G6:G55&lt;&gt;""))),28),"")</f>
        <v/>
      </c>
      <c r="AF5" s="28" t="str">
        <f>IFERROR(INDEX(_xlfn._xlws.SORT(_xlfn.UNIQUE(_xlfn._xlws.FILTER(Client_Portfolio!G6:G55,Client_Portfolio!G6:G55&lt;&gt;""))),29),"")</f>
        <v/>
      </c>
      <c r="AG5" s="28" t="str">
        <f>IFERROR(INDEX(_xlfn._xlws.SORT(_xlfn.UNIQUE(_xlfn._xlws.FILTER(Client_Portfolio!G6:G55,Client_Portfolio!G6:G55&lt;&gt;""))),30),"")</f>
        <v/>
      </c>
      <c r="AH5" s="2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</row>
    <row r="6" spans="1:200" ht="15" customHeight="1" x14ac:dyDescent="0.2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</row>
    <row r="7" spans="1:200" ht="15" customHeight="1" x14ac:dyDescent="0.2">
      <c r="A7" s="21"/>
      <c r="B7" s="22" t="s">
        <v>204</v>
      </c>
      <c r="C7" s="22" t="s">
        <v>205</v>
      </c>
      <c r="D7" s="22" t="s">
        <v>259</v>
      </c>
      <c r="E7" s="22" t="s">
        <v>260</v>
      </c>
      <c r="F7" s="22" t="s">
        <v>261</v>
      </c>
      <c r="G7" s="22" t="s">
        <v>262</v>
      </c>
      <c r="H7" s="22" t="s">
        <v>263</v>
      </c>
      <c r="I7" s="22" t="s">
        <v>264</v>
      </c>
      <c r="J7" s="22" t="s">
        <v>265</v>
      </c>
      <c r="K7" s="22" t="s">
        <v>266</v>
      </c>
      <c r="L7" s="22" t="s">
        <v>267</v>
      </c>
      <c r="M7" s="22" t="s">
        <v>268</v>
      </c>
      <c r="N7" s="22" t="s">
        <v>269</v>
      </c>
      <c r="O7" s="22" t="s">
        <v>270</v>
      </c>
      <c r="P7" s="22" t="s">
        <v>271</v>
      </c>
      <c r="Q7" s="22" t="s">
        <v>272</v>
      </c>
      <c r="R7" s="22" t="s">
        <v>273</v>
      </c>
      <c r="S7" s="22" t="s">
        <v>274</v>
      </c>
      <c r="T7" s="22" t="s">
        <v>275</v>
      </c>
      <c r="U7" s="22" t="s">
        <v>276</v>
      </c>
      <c r="V7" s="22" t="s">
        <v>277</v>
      </c>
      <c r="W7" s="22" t="s">
        <v>278</v>
      </c>
      <c r="X7" s="22" t="s">
        <v>279</v>
      </c>
      <c r="Y7" s="22" t="s">
        <v>280</v>
      </c>
      <c r="Z7" s="22" t="s">
        <v>281</v>
      </c>
      <c r="AA7" s="22" t="s">
        <v>282</v>
      </c>
      <c r="AB7" s="22" t="s">
        <v>283</v>
      </c>
      <c r="AC7" s="22" t="s">
        <v>284</v>
      </c>
      <c r="AD7" s="22" t="s">
        <v>285</v>
      </c>
      <c r="AE7" s="22" t="s">
        <v>286</v>
      </c>
      <c r="AF7" s="22" t="s">
        <v>287</v>
      </c>
      <c r="AG7" s="22" t="s">
        <v>288</v>
      </c>
      <c r="AH7" s="22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</row>
    <row r="8" spans="1:200" ht="15" customHeight="1" x14ac:dyDescent="0.2">
      <c r="A8" s="2"/>
      <c r="B8" s="24" t="str">
        <f t="shared" ref="B8:B39" si="0">IF(C8="","","[ROW:"&amp;UPPER(TEXT(C8,"MMM"))&amp;"_"&amp;TEXT(C8,"YYYY")&amp;"]")</f>
        <v>[ROW:JAN_2016]</v>
      </c>
      <c r="C8" s="29">
        <f>IF(OR(Client_Info!$D$14="",Client_Info!$D$15=""),"",IF(EOMONTH(Client_Info!$D$14,0)&lt;=Client_Info!$D$15,EOMONTH(Client_Info!$D$14,0),""))</f>
        <v>42400</v>
      </c>
      <c r="D8" s="142">
        <v>0.03</v>
      </c>
      <c r="E8" s="142">
        <v>0.67</v>
      </c>
      <c r="F8" s="142">
        <v>0.48</v>
      </c>
      <c r="G8" s="142">
        <v>1.81</v>
      </c>
      <c r="H8" s="142">
        <v>0</v>
      </c>
      <c r="I8" s="142">
        <v>-0.31</v>
      </c>
      <c r="J8" s="142">
        <v>0.63</v>
      </c>
      <c r="K8" s="142">
        <v>0.42</v>
      </c>
      <c r="L8" s="142">
        <v>1.18</v>
      </c>
      <c r="M8" s="142">
        <v>-2.7</v>
      </c>
      <c r="N8" s="142">
        <v>3.37</v>
      </c>
      <c r="O8" s="142">
        <v>2.21</v>
      </c>
      <c r="P8" s="142">
        <v>3.39</v>
      </c>
      <c r="Q8" s="142">
        <v>3.15</v>
      </c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120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</row>
    <row r="9" spans="1:200" ht="15" customHeight="1" x14ac:dyDescent="0.2">
      <c r="A9" s="2"/>
      <c r="B9" s="24" t="str">
        <f t="shared" si="0"/>
        <v>[ROW:FEB_2016]</v>
      </c>
      <c r="C9" s="29">
        <f>IF(OR(Client_Info!$D$14="",Client_Info!$D$15=""),"",IF(EOMONTH(Client_Info!$D$14,1)&lt;=Client_Info!$D$15,EOMONTH(Client_Info!$D$14,1),""))</f>
        <v>42429</v>
      </c>
      <c r="D9" s="142">
        <v>0.03</v>
      </c>
      <c r="E9" s="142">
        <v>0.18</v>
      </c>
      <c r="F9" s="142">
        <v>1.32</v>
      </c>
      <c r="G9" s="142">
        <v>0.5</v>
      </c>
      <c r="H9" s="142">
        <v>-6.59</v>
      </c>
      <c r="I9" s="142">
        <v>-0.31</v>
      </c>
      <c r="J9" s="142">
        <v>-0.33</v>
      </c>
      <c r="K9" s="142">
        <v>1.1000000000000001</v>
      </c>
      <c r="L9" s="142">
        <v>1.77</v>
      </c>
      <c r="M9" s="142">
        <v>0.04</v>
      </c>
      <c r="N9" s="142">
        <v>8.6300000000000008</v>
      </c>
      <c r="O9" s="142">
        <v>2.96</v>
      </c>
      <c r="P9" s="142">
        <v>0.13</v>
      </c>
      <c r="Q9" s="142">
        <v>0.4</v>
      </c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120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</row>
    <row r="10" spans="1:200" ht="15" customHeight="1" x14ac:dyDescent="0.2">
      <c r="A10" s="2"/>
      <c r="B10" s="24" t="str">
        <f t="shared" si="0"/>
        <v>[ROW:MAR_2016]</v>
      </c>
      <c r="C10" s="29">
        <f>IF(OR(Client_Info!$D$14="",Client_Info!$D$15=""),"",IF(EOMONTH(Client_Info!$D$14,2)&lt;=Client_Info!$D$15,EOMONTH(Client_Info!$D$14,2),""))</f>
        <v>42460</v>
      </c>
      <c r="D10" s="142">
        <v>0.03</v>
      </c>
      <c r="E10" s="142">
        <v>-0.84</v>
      </c>
      <c r="F10" s="142">
        <v>-0.75</v>
      </c>
      <c r="G10" s="142">
        <v>4.0199999999999996</v>
      </c>
      <c r="H10" s="142">
        <v>-5.12</v>
      </c>
      <c r="I10" s="142">
        <v>-0.24</v>
      </c>
      <c r="J10" s="142">
        <v>0.63</v>
      </c>
      <c r="K10" s="142">
        <v>0.23</v>
      </c>
      <c r="L10" s="142">
        <v>0.63</v>
      </c>
      <c r="M10" s="142">
        <v>2.54</v>
      </c>
      <c r="N10" s="142">
        <v>0.1</v>
      </c>
      <c r="O10" s="142">
        <v>2.8</v>
      </c>
      <c r="P10" s="142">
        <v>4.2300000000000004</v>
      </c>
      <c r="Q10" s="142">
        <v>3.8</v>
      </c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120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</row>
    <row r="11" spans="1:200" ht="15" customHeight="1" x14ac:dyDescent="0.2">
      <c r="A11" s="2"/>
      <c r="B11" s="24" t="str">
        <f t="shared" si="0"/>
        <v>[ROW:APR_2016]</v>
      </c>
      <c r="C11" s="29">
        <f>IF(OR(Client_Info!$D$14="",Client_Info!$D$15=""),"",IF(EOMONTH(Client_Info!$D$14,3)&lt;=Client_Info!$D$15,EOMONTH(Client_Info!$D$14,3),""))</f>
        <v>42490</v>
      </c>
      <c r="D11" s="142">
        <v>0.03</v>
      </c>
      <c r="E11" s="142">
        <v>0.57999999999999996</v>
      </c>
      <c r="F11" s="142">
        <v>0.98</v>
      </c>
      <c r="G11" s="142">
        <v>6.4</v>
      </c>
      <c r="H11" s="142">
        <v>2.59</v>
      </c>
      <c r="I11" s="142">
        <v>5.3</v>
      </c>
      <c r="J11" s="142">
        <v>1.36</v>
      </c>
      <c r="K11" s="142">
        <v>1.04</v>
      </c>
      <c r="L11" s="142">
        <v>-1.08</v>
      </c>
      <c r="M11" s="142">
        <v>4</v>
      </c>
      <c r="N11" s="142">
        <v>2.75</v>
      </c>
      <c r="O11" s="142">
        <v>2.64</v>
      </c>
      <c r="P11" s="142">
        <v>7.17</v>
      </c>
      <c r="Q11" s="142">
        <v>7.59</v>
      </c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120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</row>
    <row r="12" spans="1:200" ht="15" customHeight="1" x14ac:dyDescent="0.2">
      <c r="A12" s="2"/>
      <c r="B12" s="24" t="str">
        <f t="shared" si="0"/>
        <v>[ROW:MAY_2016]</v>
      </c>
      <c r="C12" s="29">
        <f>IF(OR(Client_Info!$D$14="",Client_Info!$D$15=""),"",IF(EOMONTH(Client_Info!$D$14,4)&lt;=Client_Info!$D$15,EOMONTH(Client_Info!$D$14,4),""))</f>
        <v>42521</v>
      </c>
      <c r="D12" s="142">
        <v>0.03</v>
      </c>
      <c r="E12" s="142">
        <v>-1.1499999999999999</v>
      </c>
      <c r="F12" s="142">
        <v>0.73</v>
      </c>
      <c r="G12" s="142">
        <v>6.15</v>
      </c>
      <c r="H12" s="142">
        <v>2.61</v>
      </c>
      <c r="I12" s="142">
        <v>1.38</v>
      </c>
      <c r="J12" s="142">
        <v>0.5</v>
      </c>
      <c r="K12" s="142">
        <v>0.43</v>
      </c>
      <c r="L12" s="142">
        <v>0.88</v>
      </c>
      <c r="M12" s="142">
        <v>-4.3499999999999996</v>
      </c>
      <c r="N12" s="142">
        <v>4.25</v>
      </c>
      <c r="O12" s="142">
        <v>2.17</v>
      </c>
      <c r="P12" s="142">
        <v>0.16</v>
      </c>
      <c r="Q12" s="142">
        <v>-0.01</v>
      </c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120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</row>
    <row r="13" spans="1:200" ht="15" customHeight="1" x14ac:dyDescent="0.2">
      <c r="A13" s="2"/>
      <c r="B13" s="24" t="str">
        <f t="shared" si="0"/>
        <v>[ROW:JUN_2016]</v>
      </c>
      <c r="C13" s="29">
        <f>IF(OR(Client_Info!$D$14="",Client_Info!$D$15=""),"",IF(EOMONTH(Client_Info!$D$14,5)&lt;=Client_Info!$D$15,EOMONTH(Client_Info!$D$14,5),""))</f>
        <v>42551</v>
      </c>
      <c r="D13" s="142">
        <v>0.03</v>
      </c>
      <c r="E13" s="142">
        <v>1.58</v>
      </c>
      <c r="F13" s="142">
        <v>1.1100000000000001</v>
      </c>
      <c r="G13" s="142">
        <v>5.85</v>
      </c>
      <c r="H13" s="142">
        <v>0.79</v>
      </c>
      <c r="I13" s="142">
        <v>1.49</v>
      </c>
      <c r="J13" s="142">
        <v>0.49</v>
      </c>
      <c r="K13" s="142">
        <v>-2.52</v>
      </c>
      <c r="L13" s="142">
        <v>-0.34</v>
      </c>
      <c r="M13" s="142">
        <v>-0.85</v>
      </c>
      <c r="N13" s="142">
        <v>-1.42</v>
      </c>
      <c r="O13" s="142">
        <v>2.62</v>
      </c>
      <c r="P13" s="142">
        <v>0.64</v>
      </c>
      <c r="Q13" s="142">
        <v>-0.01</v>
      </c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120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</row>
    <row r="14" spans="1:200" ht="15" customHeight="1" x14ac:dyDescent="0.2">
      <c r="A14" s="2"/>
      <c r="B14" s="24" t="str">
        <f t="shared" si="0"/>
        <v>[ROW:JUL_2016]</v>
      </c>
      <c r="C14" s="29">
        <f>IF(OR(Client_Info!$D$14="",Client_Info!$D$15=""),"",IF(EOMONTH(Client_Info!$D$14,6)&lt;=Client_Info!$D$15,EOMONTH(Client_Info!$D$14,6),""))</f>
        <v>42582</v>
      </c>
      <c r="D14" s="142">
        <v>0.03</v>
      </c>
      <c r="E14" s="142">
        <v>-0.33</v>
      </c>
      <c r="F14" s="142">
        <v>0.88</v>
      </c>
      <c r="G14" s="142">
        <v>-0.28999999999999998</v>
      </c>
      <c r="H14" s="142">
        <v>1.53</v>
      </c>
      <c r="I14" s="142">
        <v>2.88</v>
      </c>
      <c r="J14" s="142">
        <v>-0.8</v>
      </c>
      <c r="K14" s="142">
        <v>-1.02</v>
      </c>
      <c r="L14" s="142">
        <v>-0.19</v>
      </c>
      <c r="M14" s="142">
        <v>-1.42</v>
      </c>
      <c r="N14" s="142">
        <v>1.83</v>
      </c>
      <c r="O14" s="142">
        <v>1.91</v>
      </c>
      <c r="P14" s="142">
        <v>7.54</v>
      </c>
      <c r="Q14" s="142">
        <v>7.84</v>
      </c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120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</row>
    <row r="15" spans="1:200" ht="15" customHeight="1" x14ac:dyDescent="0.2">
      <c r="A15" s="2"/>
      <c r="B15" s="24" t="str">
        <f t="shared" si="0"/>
        <v>[ROW:AUG_2016]</v>
      </c>
      <c r="C15" s="29">
        <f>IF(OR(Client_Info!$D$14="",Client_Info!$D$15=""),"",IF(EOMONTH(Client_Info!$D$14,7)&lt;=Client_Info!$D$15,EOMONTH(Client_Info!$D$14,7),""))</f>
        <v>42613</v>
      </c>
      <c r="D15" s="142">
        <v>0.03</v>
      </c>
      <c r="E15" s="142">
        <v>0.44</v>
      </c>
      <c r="F15" s="142">
        <v>3.38</v>
      </c>
      <c r="G15" s="142">
        <v>-5.46</v>
      </c>
      <c r="H15" s="142">
        <v>1.91</v>
      </c>
      <c r="I15" s="142">
        <v>1.05</v>
      </c>
      <c r="J15" s="142">
        <v>-0.73</v>
      </c>
      <c r="K15" s="142">
        <v>0.13</v>
      </c>
      <c r="L15" s="142">
        <v>1.0900000000000001</v>
      </c>
      <c r="M15" s="142">
        <v>-2.14</v>
      </c>
      <c r="N15" s="142">
        <v>0.73</v>
      </c>
      <c r="O15" s="142">
        <v>3.66</v>
      </c>
      <c r="P15" s="142">
        <v>4.1500000000000004</v>
      </c>
      <c r="Q15" s="142">
        <v>4.32</v>
      </c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120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</row>
    <row r="16" spans="1:200" ht="15" customHeight="1" x14ac:dyDescent="0.2">
      <c r="A16" s="2"/>
      <c r="B16" s="24" t="str">
        <f t="shared" si="0"/>
        <v>[ROW:SEP_2016]</v>
      </c>
      <c r="C16" s="29">
        <f>IF(OR(Client_Info!$D$14="",Client_Info!$D$15=""),"",IF(EOMONTH(Client_Info!$D$14,8)&lt;=Client_Info!$D$15,EOMONTH(Client_Info!$D$14,8),""))</f>
        <v>42643</v>
      </c>
      <c r="D16" s="142">
        <v>0.03</v>
      </c>
      <c r="E16" s="142">
        <v>0.54</v>
      </c>
      <c r="F16" s="142">
        <v>-0.19</v>
      </c>
      <c r="G16" s="142">
        <v>-3.54</v>
      </c>
      <c r="H16" s="142">
        <v>-1.35</v>
      </c>
      <c r="I16" s="142">
        <v>-0.1</v>
      </c>
      <c r="J16" s="142">
        <v>-2.0099999999999998</v>
      </c>
      <c r="K16" s="142">
        <v>-1.41</v>
      </c>
      <c r="L16" s="142">
        <v>1.85</v>
      </c>
      <c r="M16" s="142">
        <v>7.63</v>
      </c>
      <c r="N16" s="142">
        <v>1.17</v>
      </c>
      <c r="O16" s="142">
        <v>0.4</v>
      </c>
      <c r="P16" s="142">
        <v>-1</v>
      </c>
      <c r="Q16" s="142">
        <v>-1.03</v>
      </c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120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</row>
    <row r="17" spans="1:200" ht="15" customHeight="1" x14ac:dyDescent="0.2">
      <c r="A17" s="2"/>
      <c r="B17" s="24" t="str">
        <f t="shared" si="0"/>
        <v>[ROW:OCT_2016]</v>
      </c>
      <c r="C17" s="29">
        <f>IF(OR(Client_Info!$D$14="",Client_Info!$D$15=""),"",IF(EOMONTH(Client_Info!$D$14,9)&lt;=Client_Info!$D$15,EOMONTH(Client_Info!$D$14,9),""))</f>
        <v>42674</v>
      </c>
      <c r="D17" s="142">
        <v>0.03</v>
      </c>
      <c r="E17" s="142">
        <v>-0.09</v>
      </c>
      <c r="F17" s="142">
        <v>-7.0000000000000007E-2</v>
      </c>
      <c r="G17" s="142">
        <v>3.87</v>
      </c>
      <c r="H17" s="142">
        <v>-2.15</v>
      </c>
      <c r="I17" s="142">
        <v>0.05</v>
      </c>
      <c r="J17" s="142">
        <v>3.45</v>
      </c>
      <c r="K17" s="142">
        <v>1.2</v>
      </c>
      <c r="L17" s="142">
        <v>0.44</v>
      </c>
      <c r="M17" s="142">
        <v>2.14</v>
      </c>
      <c r="N17" s="142">
        <v>-3.35</v>
      </c>
      <c r="O17" s="142">
        <v>-0.01</v>
      </c>
      <c r="P17" s="142">
        <v>3.2</v>
      </c>
      <c r="Q17" s="142">
        <v>3.35</v>
      </c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120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</row>
    <row r="18" spans="1:200" ht="15" customHeight="1" x14ac:dyDescent="0.2">
      <c r="A18" s="2"/>
      <c r="B18" s="24" t="str">
        <f t="shared" si="0"/>
        <v>[ROW:NOV_2016]</v>
      </c>
      <c r="C18" s="29">
        <f>IF(OR(Client_Info!$D$14="",Client_Info!$D$15=""),"",IF(EOMONTH(Client_Info!$D$14,10)&lt;=Client_Info!$D$15,EOMONTH(Client_Info!$D$14,10),""))</f>
        <v>42704</v>
      </c>
      <c r="D18" s="142">
        <v>0.03</v>
      </c>
      <c r="E18" s="142">
        <v>0.89</v>
      </c>
      <c r="F18" s="142">
        <v>-0.18</v>
      </c>
      <c r="G18" s="142">
        <v>4.6399999999999997</v>
      </c>
      <c r="H18" s="142">
        <v>-0.24</v>
      </c>
      <c r="I18" s="142">
        <v>0.33</v>
      </c>
      <c r="J18" s="142">
        <v>-1.74</v>
      </c>
      <c r="K18" s="142">
        <v>2.54</v>
      </c>
      <c r="L18" s="142">
        <v>0.77</v>
      </c>
      <c r="M18" s="142">
        <v>-4.5999999999999996</v>
      </c>
      <c r="N18" s="142">
        <v>0.79</v>
      </c>
      <c r="O18" s="142">
        <v>-0.65</v>
      </c>
      <c r="P18" s="142">
        <v>-1.47</v>
      </c>
      <c r="Q18" s="142">
        <v>-1.01</v>
      </c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120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</row>
    <row r="19" spans="1:200" ht="15" customHeight="1" x14ac:dyDescent="0.2">
      <c r="A19" s="2"/>
      <c r="B19" s="24" t="str">
        <f t="shared" si="0"/>
        <v>[ROW:DEC_2016]</v>
      </c>
      <c r="C19" s="29">
        <f>IF(OR(Client_Info!$D$14="",Client_Info!$D$15=""),"",IF(EOMONTH(Client_Info!$D$14,11)&lt;=Client_Info!$D$15,EOMONTH(Client_Info!$D$14,11),""))</f>
        <v>42735</v>
      </c>
      <c r="D19" s="142">
        <v>0.03</v>
      </c>
      <c r="E19" s="142">
        <v>-0.34</v>
      </c>
      <c r="F19" s="142">
        <v>-0.1</v>
      </c>
      <c r="G19" s="142">
        <v>2.06</v>
      </c>
      <c r="H19" s="142">
        <v>-1.71</v>
      </c>
      <c r="I19" s="142">
        <v>0.41</v>
      </c>
      <c r="J19" s="142">
        <v>-0.78</v>
      </c>
      <c r="K19" s="142">
        <v>2.09</v>
      </c>
      <c r="L19" s="142">
        <v>2.38</v>
      </c>
      <c r="M19" s="142">
        <v>4.21</v>
      </c>
      <c r="N19" s="142">
        <v>3.25</v>
      </c>
      <c r="O19" s="142">
        <v>-0.6</v>
      </c>
      <c r="P19" s="142">
        <v>-1</v>
      </c>
      <c r="Q19" s="142">
        <v>-1.02</v>
      </c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120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</row>
    <row r="20" spans="1:200" ht="15" customHeight="1" x14ac:dyDescent="0.2">
      <c r="A20" s="2"/>
      <c r="B20" s="24" t="str">
        <f t="shared" si="0"/>
        <v>[ROW:JAN_2017]</v>
      </c>
      <c r="C20" s="29">
        <f>IF(OR(Client_Info!$D$14="",Client_Info!$D$15=""),"",IF(EOMONTH(Client_Info!$D$14,12)&lt;=Client_Info!$D$15,EOMONTH(Client_Info!$D$14,12),""))</f>
        <v>42766</v>
      </c>
      <c r="D20" s="142">
        <v>0.03</v>
      </c>
      <c r="E20" s="142">
        <v>1.21</v>
      </c>
      <c r="F20" s="142">
        <v>-0.19</v>
      </c>
      <c r="G20" s="142">
        <v>0.43</v>
      </c>
      <c r="H20" s="142">
        <v>-0.6</v>
      </c>
      <c r="I20" s="142">
        <v>2.1800000000000002</v>
      </c>
      <c r="J20" s="142">
        <v>-0.83</v>
      </c>
      <c r="K20" s="142">
        <v>0.03</v>
      </c>
      <c r="L20" s="142">
        <v>0.69</v>
      </c>
      <c r="M20" s="142">
        <v>9.08</v>
      </c>
      <c r="N20" s="142">
        <v>8.2100000000000009</v>
      </c>
      <c r="O20" s="142">
        <v>1</v>
      </c>
      <c r="P20" s="142">
        <v>1.73</v>
      </c>
      <c r="Q20" s="142">
        <v>2.0499999999999998</v>
      </c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120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</row>
    <row r="21" spans="1:200" ht="15" customHeight="1" x14ac:dyDescent="0.2">
      <c r="A21" s="2"/>
      <c r="B21" s="24" t="str">
        <f t="shared" si="0"/>
        <v>[ROW:FEB_2017]</v>
      </c>
      <c r="C21" s="29">
        <f>IF(OR(Client_Info!$D$14="",Client_Info!$D$15=""),"",IF(EOMONTH(Client_Info!$D$14,13)&lt;=Client_Info!$D$15,EOMONTH(Client_Info!$D$14,13),""))</f>
        <v>42794</v>
      </c>
      <c r="D21" s="142">
        <v>0.03</v>
      </c>
      <c r="E21" s="142">
        <v>-1.35</v>
      </c>
      <c r="F21" s="142">
        <v>1.91</v>
      </c>
      <c r="G21" s="142">
        <v>1.27</v>
      </c>
      <c r="H21" s="142">
        <v>-3.41</v>
      </c>
      <c r="I21" s="142">
        <v>0.62</v>
      </c>
      <c r="J21" s="142">
        <v>1.97</v>
      </c>
      <c r="K21" s="142">
        <v>2.4900000000000002</v>
      </c>
      <c r="L21" s="142">
        <v>3.42</v>
      </c>
      <c r="M21" s="142">
        <v>4.67</v>
      </c>
      <c r="N21" s="142">
        <v>5.65</v>
      </c>
      <c r="O21" s="142">
        <v>-0.44</v>
      </c>
      <c r="P21" s="142">
        <v>-7.14</v>
      </c>
      <c r="Q21" s="142">
        <v>-7.28</v>
      </c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120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</row>
    <row r="22" spans="1:200" ht="15" customHeight="1" x14ac:dyDescent="0.2">
      <c r="A22" s="2"/>
      <c r="B22" s="24" t="str">
        <f t="shared" si="0"/>
        <v>[ROW:MAR_2017]</v>
      </c>
      <c r="C22" s="29">
        <f>IF(OR(Client_Info!$D$14="",Client_Info!$D$15=""),"",IF(EOMONTH(Client_Info!$D$14,14)&lt;=Client_Info!$D$15,EOMONTH(Client_Info!$D$14,14),""))</f>
        <v>42825</v>
      </c>
      <c r="D22" s="142">
        <v>0.03</v>
      </c>
      <c r="E22" s="142">
        <v>0.35</v>
      </c>
      <c r="F22" s="142">
        <v>2.1800000000000002</v>
      </c>
      <c r="G22" s="142">
        <v>6.65</v>
      </c>
      <c r="H22" s="142">
        <v>3.61</v>
      </c>
      <c r="I22" s="142">
        <v>2.19</v>
      </c>
      <c r="J22" s="142">
        <v>-0.09</v>
      </c>
      <c r="K22" s="142">
        <v>0.55000000000000004</v>
      </c>
      <c r="L22" s="142">
        <v>1.07</v>
      </c>
      <c r="M22" s="142">
        <v>-5.64</v>
      </c>
      <c r="N22" s="142">
        <v>11.85</v>
      </c>
      <c r="O22" s="142">
        <v>-1.1299999999999999</v>
      </c>
      <c r="P22" s="142">
        <v>-6.74</v>
      </c>
      <c r="Q22" s="142">
        <v>-6.47</v>
      </c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120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</row>
    <row r="23" spans="1:200" ht="15" customHeight="1" x14ac:dyDescent="0.2">
      <c r="A23" s="2"/>
      <c r="B23" s="24" t="str">
        <f t="shared" si="0"/>
        <v>[ROW:APR_2017]</v>
      </c>
      <c r="C23" s="29">
        <f>IF(OR(Client_Info!$D$14="",Client_Info!$D$15=""),"",IF(EOMONTH(Client_Info!$D$14,15)&lt;=Client_Info!$D$15,EOMONTH(Client_Info!$D$14,15),""))</f>
        <v>42855</v>
      </c>
      <c r="D23" s="142">
        <v>0.03</v>
      </c>
      <c r="E23" s="142">
        <v>2.4500000000000002</v>
      </c>
      <c r="F23" s="142">
        <v>-0.12</v>
      </c>
      <c r="G23" s="142">
        <v>4.54</v>
      </c>
      <c r="H23" s="142">
        <v>4.68</v>
      </c>
      <c r="I23" s="142">
        <v>0.31</v>
      </c>
      <c r="J23" s="142">
        <v>2.58</v>
      </c>
      <c r="K23" s="142">
        <v>-0.15</v>
      </c>
      <c r="L23" s="142">
        <v>-1.62</v>
      </c>
      <c r="M23" s="142">
        <v>-1.46</v>
      </c>
      <c r="N23" s="142">
        <v>-3.32</v>
      </c>
      <c r="O23" s="142">
        <v>-3.03</v>
      </c>
      <c r="P23" s="142">
        <v>-0.97</v>
      </c>
      <c r="Q23" s="142">
        <v>-1.43</v>
      </c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120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</row>
    <row r="24" spans="1:200" ht="15" customHeight="1" x14ac:dyDescent="0.2">
      <c r="A24" s="2"/>
      <c r="B24" s="24" t="str">
        <f t="shared" si="0"/>
        <v>[ROW:MAY_2017]</v>
      </c>
      <c r="C24" s="29">
        <f>IF(OR(Client_Info!$D$14="",Client_Info!$D$15=""),"",IF(EOMONTH(Client_Info!$D$14,16)&lt;=Client_Info!$D$15,EOMONTH(Client_Info!$D$14,16),""))</f>
        <v>42886</v>
      </c>
      <c r="D24" s="142">
        <v>0.03</v>
      </c>
      <c r="E24" s="142">
        <v>-0.95</v>
      </c>
      <c r="F24" s="142">
        <v>-0.42</v>
      </c>
      <c r="G24" s="142">
        <v>2.42</v>
      </c>
      <c r="H24" s="142">
        <v>4.07</v>
      </c>
      <c r="I24" s="142">
        <v>0.68</v>
      </c>
      <c r="J24" s="142">
        <v>-0.75</v>
      </c>
      <c r="K24" s="142">
        <v>-0.55000000000000004</v>
      </c>
      <c r="L24" s="142">
        <v>1.29</v>
      </c>
      <c r="M24" s="142">
        <v>5.62</v>
      </c>
      <c r="N24" s="142">
        <v>5.2</v>
      </c>
      <c r="O24" s="142">
        <v>-3.26</v>
      </c>
      <c r="P24" s="142">
        <v>-3.62</v>
      </c>
      <c r="Q24" s="142">
        <v>-3.39</v>
      </c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120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</row>
    <row r="25" spans="1:200" ht="15" customHeight="1" x14ac:dyDescent="0.2">
      <c r="A25" s="2"/>
      <c r="B25" s="24" t="str">
        <f t="shared" si="0"/>
        <v>[ROW:JUN_2017]</v>
      </c>
      <c r="C25" s="29">
        <f>IF(OR(Client_Info!$D$14="",Client_Info!$D$15=""),"",IF(EOMONTH(Client_Info!$D$14,17)&lt;=Client_Info!$D$15,EOMONTH(Client_Info!$D$14,17),""))</f>
        <v>42916</v>
      </c>
      <c r="D25" s="142">
        <v>0.03</v>
      </c>
      <c r="E25" s="142">
        <v>-0.56999999999999995</v>
      </c>
      <c r="F25" s="142">
        <v>1.0900000000000001</v>
      </c>
      <c r="G25" s="142">
        <v>3.81</v>
      </c>
      <c r="H25" s="142">
        <v>7.44</v>
      </c>
      <c r="I25" s="142">
        <v>-4.1100000000000003</v>
      </c>
      <c r="J25" s="142">
        <v>0.9</v>
      </c>
      <c r="K25" s="142">
        <v>-0.1</v>
      </c>
      <c r="L25" s="142">
        <v>0.86</v>
      </c>
      <c r="M25" s="142">
        <v>-2.36</v>
      </c>
      <c r="N25" s="142">
        <v>1.62</v>
      </c>
      <c r="O25" s="142">
        <v>-5.41</v>
      </c>
      <c r="P25" s="142">
        <v>2.2599999999999998</v>
      </c>
      <c r="Q25" s="142">
        <v>2.36</v>
      </c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120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</row>
    <row r="26" spans="1:200" ht="15" customHeight="1" x14ac:dyDescent="0.2">
      <c r="A26" s="2"/>
      <c r="B26" s="24" t="str">
        <f t="shared" si="0"/>
        <v>[ROW:JUL_2017]</v>
      </c>
      <c r="C26" s="29">
        <f>IF(OR(Client_Info!$D$14="",Client_Info!$D$15=""),"",IF(EOMONTH(Client_Info!$D$14,18)&lt;=Client_Info!$D$15,EOMONTH(Client_Info!$D$14,18),""))</f>
        <v>42947</v>
      </c>
      <c r="D26" s="142">
        <v>0.03</v>
      </c>
      <c r="E26" s="142">
        <v>0.8</v>
      </c>
      <c r="F26" s="142">
        <v>-0.1</v>
      </c>
      <c r="G26" s="142">
        <v>3.57</v>
      </c>
      <c r="H26" s="142">
        <v>10.130000000000001</v>
      </c>
      <c r="I26" s="142">
        <v>2.62</v>
      </c>
      <c r="J26" s="142">
        <v>-1.03</v>
      </c>
      <c r="K26" s="142">
        <v>-0.23</v>
      </c>
      <c r="L26" s="142">
        <v>1.91</v>
      </c>
      <c r="M26" s="142">
        <v>2.29</v>
      </c>
      <c r="N26" s="142">
        <v>12.05</v>
      </c>
      <c r="O26" s="142">
        <v>-2.99</v>
      </c>
      <c r="P26" s="142">
        <v>-2.69</v>
      </c>
      <c r="Q26" s="142">
        <v>-2.93</v>
      </c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120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</row>
    <row r="27" spans="1:200" ht="15" customHeight="1" x14ac:dyDescent="0.2">
      <c r="A27" s="2"/>
      <c r="B27" s="24" t="str">
        <f t="shared" si="0"/>
        <v>[ROW:AUG_2017]</v>
      </c>
      <c r="C27" s="29">
        <f>IF(OR(Client_Info!$D$14="",Client_Info!$D$15=""),"",IF(EOMONTH(Client_Info!$D$14,19)&lt;=Client_Info!$D$15,EOMONTH(Client_Info!$D$14,19),""))</f>
        <v>42978</v>
      </c>
      <c r="D27" s="142">
        <v>0.03</v>
      </c>
      <c r="E27" s="142">
        <v>0.42</v>
      </c>
      <c r="F27" s="142">
        <v>1.27</v>
      </c>
      <c r="G27" s="142">
        <v>1.33</v>
      </c>
      <c r="H27" s="142">
        <v>4.8899999999999997</v>
      </c>
      <c r="I27" s="142">
        <v>1.3</v>
      </c>
      <c r="J27" s="142">
        <v>4.13</v>
      </c>
      <c r="K27" s="142">
        <v>0.57999999999999996</v>
      </c>
      <c r="L27" s="142">
        <v>1.19</v>
      </c>
      <c r="M27" s="142">
        <v>3.63</v>
      </c>
      <c r="N27" s="142">
        <v>-3.53</v>
      </c>
      <c r="O27" s="142">
        <v>-0.51</v>
      </c>
      <c r="P27" s="142">
        <v>-5.48</v>
      </c>
      <c r="Q27" s="142">
        <v>-5.12</v>
      </c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120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</row>
    <row r="28" spans="1:200" ht="15" customHeight="1" x14ac:dyDescent="0.2">
      <c r="A28" s="2"/>
      <c r="B28" s="24" t="str">
        <f t="shared" si="0"/>
        <v>[ROW:SEP_2017]</v>
      </c>
      <c r="C28" s="29">
        <f>IF(OR(Client_Info!$D$14="",Client_Info!$D$15=""),"",IF(EOMONTH(Client_Info!$D$14,20)&lt;=Client_Info!$D$15,EOMONTH(Client_Info!$D$14,20),""))</f>
        <v>43008</v>
      </c>
      <c r="D28" s="142">
        <v>0.03</v>
      </c>
      <c r="E28" s="142">
        <v>0.61</v>
      </c>
      <c r="F28" s="142">
        <v>0.78</v>
      </c>
      <c r="G28" s="142">
        <v>-0.26</v>
      </c>
      <c r="H28" s="142">
        <v>-6.1</v>
      </c>
      <c r="I28" s="142">
        <v>2.8</v>
      </c>
      <c r="J28" s="142">
        <v>-1.64</v>
      </c>
      <c r="K28" s="142">
        <v>0.56999999999999995</v>
      </c>
      <c r="L28" s="142">
        <v>0.26</v>
      </c>
      <c r="M28" s="142">
        <v>-3.25</v>
      </c>
      <c r="N28" s="142">
        <v>-3.7</v>
      </c>
      <c r="O28" s="142">
        <v>1.48</v>
      </c>
      <c r="P28" s="142">
        <v>7.41</v>
      </c>
      <c r="Q28" s="142">
        <v>7.35</v>
      </c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120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</row>
    <row r="29" spans="1:200" ht="15" customHeight="1" x14ac:dyDescent="0.2">
      <c r="A29" s="2"/>
      <c r="B29" s="24" t="str">
        <f t="shared" si="0"/>
        <v>[ROW:OCT_2017]</v>
      </c>
      <c r="C29" s="29">
        <f>IF(OR(Client_Info!$D$14="",Client_Info!$D$15=""),"",IF(EOMONTH(Client_Info!$D$14,21)&lt;=Client_Info!$D$15,EOMONTH(Client_Info!$D$14,21),""))</f>
        <v>43039</v>
      </c>
      <c r="D29" s="142">
        <v>0.03</v>
      </c>
      <c r="E29" s="142">
        <v>0.77</v>
      </c>
      <c r="F29" s="142">
        <v>-1.21</v>
      </c>
      <c r="G29" s="142">
        <v>3.71</v>
      </c>
      <c r="H29" s="142">
        <v>-6.76</v>
      </c>
      <c r="I29" s="142">
        <v>-6.19</v>
      </c>
      <c r="J29" s="142">
        <v>0.95</v>
      </c>
      <c r="K29" s="142">
        <v>0.34</v>
      </c>
      <c r="L29" s="142">
        <v>-1</v>
      </c>
      <c r="M29" s="142">
        <v>0.26</v>
      </c>
      <c r="N29" s="142">
        <v>-2.4500000000000002</v>
      </c>
      <c r="O29" s="142">
        <v>1.66</v>
      </c>
      <c r="P29" s="142">
        <v>0.41</v>
      </c>
      <c r="Q29" s="142">
        <v>0.02</v>
      </c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120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</row>
    <row r="30" spans="1:200" ht="15" customHeight="1" x14ac:dyDescent="0.2">
      <c r="A30" s="2"/>
      <c r="B30" s="24" t="str">
        <f t="shared" si="0"/>
        <v>[ROW:NOV_2017]</v>
      </c>
      <c r="C30" s="29">
        <f>IF(OR(Client_Info!$D$14="",Client_Info!$D$15=""),"",IF(EOMONTH(Client_Info!$D$14,22)&lt;=Client_Info!$D$15,EOMONTH(Client_Info!$D$14,22),""))</f>
        <v>43069</v>
      </c>
      <c r="D30" s="142">
        <v>0.03</v>
      </c>
      <c r="E30" s="142">
        <v>0.94</v>
      </c>
      <c r="F30" s="142">
        <v>2.33</v>
      </c>
      <c r="G30" s="142">
        <v>8.5</v>
      </c>
      <c r="H30" s="142">
        <v>-2.72</v>
      </c>
      <c r="I30" s="142">
        <v>5.32</v>
      </c>
      <c r="J30" s="142">
        <v>1.51</v>
      </c>
      <c r="K30" s="142">
        <v>0.96</v>
      </c>
      <c r="L30" s="142">
        <v>0.18</v>
      </c>
      <c r="M30" s="142">
        <v>-12.6</v>
      </c>
      <c r="N30" s="142">
        <v>-10.37</v>
      </c>
      <c r="O30" s="142">
        <v>0.13</v>
      </c>
      <c r="P30" s="142">
        <v>0.81</v>
      </c>
      <c r="Q30" s="142">
        <v>1.29</v>
      </c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120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</row>
    <row r="31" spans="1:200" ht="15" customHeight="1" x14ac:dyDescent="0.2">
      <c r="A31" s="2"/>
      <c r="B31" s="24" t="str">
        <f t="shared" si="0"/>
        <v>[ROW:DEC_2017]</v>
      </c>
      <c r="C31" s="29">
        <f>IF(OR(Client_Info!$D$14="",Client_Info!$D$15=""),"",IF(EOMONTH(Client_Info!$D$14,23)&lt;=Client_Info!$D$15,EOMONTH(Client_Info!$D$14,23),""))</f>
        <v>43100</v>
      </c>
      <c r="D31" s="142">
        <v>0.03</v>
      </c>
      <c r="E31" s="142">
        <v>1.49</v>
      </c>
      <c r="F31" s="142">
        <v>2.62</v>
      </c>
      <c r="G31" s="142">
        <v>9.0299999999999994</v>
      </c>
      <c r="H31" s="142">
        <v>1.21</v>
      </c>
      <c r="I31" s="142">
        <v>0.18</v>
      </c>
      <c r="J31" s="142">
        <v>1.1299999999999999</v>
      </c>
      <c r="K31" s="142">
        <v>2.0499999999999998</v>
      </c>
      <c r="L31" s="142">
        <v>-0.56999999999999995</v>
      </c>
      <c r="M31" s="142">
        <v>-3.64</v>
      </c>
      <c r="N31" s="142">
        <v>-2.0699999999999998</v>
      </c>
      <c r="O31" s="142">
        <v>0.22</v>
      </c>
      <c r="P31" s="142">
        <v>-5.1100000000000003</v>
      </c>
      <c r="Q31" s="142">
        <v>-5.17</v>
      </c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120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</row>
    <row r="32" spans="1:200" ht="15" customHeight="1" x14ac:dyDescent="0.2">
      <c r="A32" s="2"/>
      <c r="B32" s="24" t="str">
        <f t="shared" si="0"/>
        <v>[ROW:JAN_2018]</v>
      </c>
      <c r="C32" s="29">
        <f>IF(OR(Client_Info!$D$14="",Client_Info!$D$15=""),"",IF(EOMONTH(Client_Info!$D$14,24)&lt;=Client_Info!$D$15,EOMONTH(Client_Info!$D$14,24),""))</f>
        <v>43131</v>
      </c>
      <c r="D32" s="142">
        <v>0.08</v>
      </c>
      <c r="E32" s="142">
        <v>0.68</v>
      </c>
      <c r="F32" s="142">
        <v>-0.17</v>
      </c>
      <c r="G32" s="142">
        <v>6.51</v>
      </c>
      <c r="H32" s="142">
        <v>2.33</v>
      </c>
      <c r="I32" s="142">
        <v>3.06</v>
      </c>
      <c r="J32" s="142">
        <v>0.1</v>
      </c>
      <c r="K32" s="142">
        <v>1.7</v>
      </c>
      <c r="L32" s="142">
        <v>-0.25</v>
      </c>
      <c r="M32" s="142">
        <v>-0.52</v>
      </c>
      <c r="N32" s="142">
        <v>-3.28</v>
      </c>
      <c r="O32" s="142">
        <v>-0.84</v>
      </c>
      <c r="P32" s="142">
        <v>-1.28</v>
      </c>
      <c r="Q32" s="142">
        <v>-1.36</v>
      </c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120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</row>
    <row r="33" spans="1:200" ht="15" customHeight="1" x14ac:dyDescent="0.2">
      <c r="A33" s="2"/>
      <c r="B33" s="24" t="str">
        <f t="shared" si="0"/>
        <v>[ROW:FEB_2018]</v>
      </c>
      <c r="C33" s="29">
        <f>IF(OR(Client_Info!$D$14="",Client_Info!$D$15=""),"",IF(EOMONTH(Client_Info!$D$14,25)&lt;=Client_Info!$D$15,EOMONTH(Client_Info!$D$14,25),""))</f>
        <v>43159</v>
      </c>
      <c r="D33" s="142">
        <v>0.09</v>
      </c>
      <c r="E33" s="142">
        <v>-7.0000000000000007E-2</v>
      </c>
      <c r="F33" s="142">
        <v>0.09</v>
      </c>
      <c r="G33" s="142">
        <v>0.4</v>
      </c>
      <c r="H33" s="142">
        <v>-0.62</v>
      </c>
      <c r="I33" s="142">
        <v>-1.9</v>
      </c>
      <c r="J33" s="142">
        <v>0.19</v>
      </c>
      <c r="K33" s="142">
        <v>-1.81</v>
      </c>
      <c r="L33" s="142">
        <v>1.1000000000000001</v>
      </c>
      <c r="M33" s="142">
        <v>-4.54</v>
      </c>
      <c r="N33" s="142">
        <v>1.45</v>
      </c>
      <c r="O33" s="142">
        <v>7.0000000000000007E-2</v>
      </c>
      <c r="P33" s="142">
        <v>1.71</v>
      </c>
      <c r="Q33" s="142">
        <v>1.48</v>
      </c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120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</row>
    <row r="34" spans="1:200" ht="15" customHeight="1" x14ac:dyDescent="0.2">
      <c r="A34" s="2"/>
      <c r="B34" s="24" t="str">
        <f t="shared" si="0"/>
        <v>[ROW:MAR_2018]</v>
      </c>
      <c r="C34" s="29">
        <f>IF(OR(Client_Info!$D$14="",Client_Info!$D$15=""),"",IF(EOMONTH(Client_Info!$D$14,26)&lt;=Client_Info!$D$15,EOMONTH(Client_Info!$D$14,26),""))</f>
        <v>43190</v>
      </c>
      <c r="D34" s="142">
        <v>0.1</v>
      </c>
      <c r="E34" s="142">
        <v>0.98</v>
      </c>
      <c r="F34" s="142">
        <v>0.87</v>
      </c>
      <c r="G34" s="142">
        <v>-2.4300000000000002</v>
      </c>
      <c r="H34" s="142">
        <v>0.08</v>
      </c>
      <c r="I34" s="142">
        <v>1.92</v>
      </c>
      <c r="J34" s="142">
        <v>0.49</v>
      </c>
      <c r="K34" s="142">
        <v>-3.35</v>
      </c>
      <c r="L34" s="142">
        <v>2.34</v>
      </c>
      <c r="M34" s="142">
        <v>7.1</v>
      </c>
      <c r="N34" s="142">
        <v>2.44</v>
      </c>
      <c r="O34" s="142">
        <v>2.5499999999999998</v>
      </c>
      <c r="P34" s="142">
        <v>-4.3600000000000003</v>
      </c>
      <c r="Q34" s="142">
        <v>-3.98</v>
      </c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120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</row>
    <row r="35" spans="1:200" ht="15" customHeight="1" x14ac:dyDescent="0.2">
      <c r="A35" s="2"/>
      <c r="B35" s="24" t="str">
        <f t="shared" si="0"/>
        <v>[ROW:APR_2018]</v>
      </c>
      <c r="C35" s="29">
        <f>IF(OR(Client_Info!$D$14="",Client_Info!$D$15=""),"",IF(EOMONTH(Client_Info!$D$14,27)&lt;=Client_Info!$D$15,EOMONTH(Client_Info!$D$14,27),""))</f>
        <v>43220</v>
      </c>
      <c r="D35" s="142">
        <v>0.11</v>
      </c>
      <c r="E35" s="142">
        <v>2.4</v>
      </c>
      <c r="F35" s="142">
        <v>0.93</v>
      </c>
      <c r="G35" s="142">
        <v>-0.4</v>
      </c>
      <c r="H35" s="142">
        <v>-2.17</v>
      </c>
      <c r="I35" s="142">
        <v>-1.93</v>
      </c>
      <c r="J35" s="142">
        <v>0.16</v>
      </c>
      <c r="K35" s="142">
        <v>1.68</v>
      </c>
      <c r="L35" s="142">
        <v>0.87</v>
      </c>
      <c r="M35" s="142">
        <v>-5.28</v>
      </c>
      <c r="N35" s="142">
        <v>10.42</v>
      </c>
      <c r="O35" s="142">
        <v>1.97</v>
      </c>
      <c r="P35" s="142">
        <v>2.23</v>
      </c>
      <c r="Q35" s="142">
        <v>2.63</v>
      </c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120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</row>
    <row r="36" spans="1:200" ht="15" customHeight="1" x14ac:dyDescent="0.2">
      <c r="A36" s="2"/>
      <c r="B36" s="24" t="str">
        <f t="shared" si="0"/>
        <v>[ROW:MAY_2018]</v>
      </c>
      <c r="C36" s="29">
        <f>IF(OR(Client_Info!$D$14="",Client_Info!$D$15=""),"",IF(EOMONTH(Client_Info!$D$14,28)&lt;=Client_Info!$D$15,EOMONTH(Client_Info!$D$14,28),""))</f>
        <v>43251</v>
      </c>
      <c r="D36" s="142">
        <v>0.11</v>
      </c>
      <c r="E36" s="142">
        <v>0.06</v>
      </c>
      <c r="F36" s="142">
        <v>1.3</v>
      </c>
      <c r="G36" s="142">
        <v>2.41</v>
      </c>
      <c r="H36" s="142">
        <v>-3.83</v>
      </c>
      <c r="I36" s="142">
        <v>-0.94</v>
      </c>
      <c r="J36" s="142">
        <v>2.09</v>
      </c>
      <c r="K36" s="142">
        <v>-1.64</v>
      </c>
      <c r="L36" s="142">
        <v>-0.96</v>
      </c>
      <c r="M36" s="142">
        <v>-1.28</v>
      </c>
      <c r="N36" s="142">
        <v>5.61</v>
      </c>
      <c r="O36" s="142">
        <v>2.0299999999999998</v>
      </c>
      <c r="P36" s="142">
        <v>-1.44</v>
      </c>
      <c r="Q36" s="142">
        <v>-1.6</v>
      </c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120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</row>
    <row r="37" spans="1:200" ht="15" customHeight="1" x14ac:dyDescent="0.2">
      <c r="A37" s="2"/>
      <c r="B37" s="24" t="str">
        <f t="shared" si="0"/>
        <v>[ROW:JUN_2018]</v>
      </c>
      <c r="C37" s="29">
        <f>IF(OR(Client_Info!$D$14="",Client_Info!$D$15=""),"",IF(EOMONTH(Client_Info!$D$14,29)&lt;=Client_Info!$D$15,EOMONTH(Client_Info!$D$14,29),""))</f>
        <v>43281</v>
      </c>
      <c r="D37" s="142">
        <v>0.12</v>
      </c>
      <c r="E37" s="142">
        <v>-0.92</v>
      </c>
      <c r="F37" s="142">
        <v>2.86</v>
      </c>
      <c r="G37" s="142">
        <v>2.13</v>
      </c>
      <c r="H37" s="142">
        <v>-6.06</v>
      </c>
      <c r="I37" s="142">
        <v>4.92</v>
      </c>
      <c r="J37" s="142">
        <v>4.25</v>
      </c>
      <c r="K37" s="142">
        <v>0.01</v>
      </c>
      <c r="L37" s="142">
        <v>0.93</v>
      </c>
      <c r="M37" s="142">
        <v>1.03</v>
      </c>
      <c r="N37" s="142">
        <v>-2.33</v>
      </c>
      <c r="O37" s="142">
        <v>1.3</v>
      </c>
      <c r="P37" s="142">
        <v>-0.17</v>
      </c>
      <c r="Q37" s="142">
        <v>-0.26</v>
      </c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120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</row>
    <row r="38" spans="1:200" ht="15" customHeight="1" x14ac:dyDescent="0.2">
      <c r="A38" s="2"/>
      <c r="B38" s="24" t="str">
        <f t="shared" si="0"/>
        <v>[ROW:JUL_2018]</v>
      </c>
      <c r="C38" s="29">
        <f>IF(OR(Client_Info!$D$14="",Client_Info!$D$15=""),"",IF(EOMONTH(Client_Info!$D$14,30)&lt;=Client_Info!$D$15,EOMONTH(Client_Info!$D$14,30),""))</f>
        <v>43312</v>
      </c>
      <c r="D38" s="142">
        <v>0.13</v>
      </c>
      <c r="E38" s="142">
        <v>1.49</v>
      </c>
      <c r="F38" s="142">
        <v>0.34</v>
      </c>
      <c r="G38" s="142">
        <v>-0.43</v>
      </c>
      <c r="H38" s="142">
        <v>-5.77</v>
      </c>
      <c r="I38" s="142">
        <v>0.06</v>
      </c>
      <c r="J38" s="142">
        <v>-0.55000000000000004</v>
      </c>
      <c r="K38" s="142">
        <v>-1.36</v>
      </c>
      <c r="L38" s="142">
        <v>1.8</v>
      </c>
      <c r="M38" s="142">
        <v>6.32</v>
      </c>
      <c r="N38" s="142">
        <v>-4</v>
      </c>
      <c r="O38" s="142">
        <v>-0.59</v>
      </c>
      <c r="P38" s="142">
        <v>-1.53</v>
      </c>
      <c r="Q38" s="142">
        <v>-1.61</v>
      </c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120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</row>
    <row r="39" spans="1:200" ht="15" customHeight="1" x14ac:dyDescent="0.2">
      <c r="A39" s="2"/>
      <c r="B39" s="24" t="str">
        <f t="shared" si="0"/>
        <v>[ROW:AUG_2018]</v>
      </c>
      <c r="C39" s="29">
        <f>IF(OR(Client_Info!$D$14="",Client_Info!$D$15=""),"",IF(EOMONTH(Client_Info!$D$14,31)&lt;=Client_Info!$D$15,EOMONTH(Client_Info!$D$14,31),""))</f>
        <v>43343</v>
      </c>
      <c r="D39" s="142">
        <v>0.14000000000000001</v>
      </c>
      <c r="E39" s="142">
        <v>7.0000000000000007E-2</v>
      </c>
      <c r="F39" s="142">
        <v>-0.38</v>
      </c>
      <c r="G39" s="142">
        <v>3.08</v>
      </c>
      <c r="H39" s="142">
        <v>-6.31</v>
      </c>
      <c r="I39" s="142">
        <v>1</v>
      </c>
      <c r="J39" s="142">
        <v>-1.96</v>
      </c>
      <c r="K39" s="142">
        <v>-2.27</v>
      </c>
      <c r="L39" s="142">
        <v>-0.28999999999999998</v>
      </c>
      <c r="M39" s="142">
        <v>-5.3</v>
      </c>
      <c r="N39" s="142">
        <v>3.22</v>
      </c>
      <c r="O39" s="142">
        <v>-2.17</v>
      </c>
      <c r="P39" s="142">
        <v>9.1199999999999992</v>
      </c>
      <c r="Q39" s="142">
        <v>9.02</v>
      </c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120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</row>
    <row r="40" spans="1:200" ht="15" customHeight="1" x14ac:dyDescent="0.2">
      <c r="A40" s="2"/>
      <c r="B40" s="24" t="str">
        <f t="shared" ref="B40:B71" si="1">IF(C40="","","[ROW:"&amp;UPPER(TEXT(C40,"MMM"))&amp;"_"&amp;TEXT(C40,"YYYY")&amp;"]")</f>
        <v>[ROW:SEP_2018]</v>
      </c>
      <c r="C40" s="29">
        <f>IF(OR(Client_Info!$D$14="",Client_Info!$D$15=""),"",IF(EOMONTH(Client_Info!$D$14,32)&lt;=Client_Info!$D$15,EOMONTH(Client_Info!$D$14,32),""))</f>
        <v>43373</v>
      </c>
      <c r="D40" s="142">
        <v>0.14000000000000001</v>
      </c>
      <c r="E40" s="142">
        <v>-2.2999999999999998</v>
      </c>
      <c r="F40" s="142">
        <v>-1.05</v>
      </c>
      <c r="G40" s="142">
        <v>1.98</v>
      </c>
      <c r="H40" s="142">
        <v>-2.85</v>
      </c>
      <c r="I40" s="142">
        <v>2.5099999999999998</v>
      </c>
      <c r="J40" s="142">
        <v>0.26</v>
      </c>
      <c r="K40" s="142">
        <v>1.1100000000000001</v>
      </c>
      <c r="L40" s="142">
        <v>0.26</v>
      </c>
      <c r="M40" s="142">
        <v>5.2</v>
      </c>
      <c r="N40" s="142">
        <v>-6.19</v>
      </c>
      <c r="O40" s="142">
        <v>-1.42</v>
      </c>
      <c r="P40" s="142">
        <v>0.74</v>
      </c>
      <c r="Q40" s="142">
        <v>0.94</v>
      </c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120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</row>
    <row r="41" spans="1:200" ht="15" customHeight="1" x14ac:dyDescent="0.2">
      <c r="A41" s="2"/>
      <c r="B41" s="24" t="str">
        <f t="shared" si="1"/>
        <v>[ROW:OCT_2018]</v>
      </c>
      <c r="C41" s="29">
        <f>IF(OR(Client_Info!$D$14="",Client_Info!$D$15=""),"",IF(EOMONTH(Client_Info!$D$14,33)&lt;=Client_Info!$D$15,EOMONTH(Client_Info!$D$14,33),""))</f>
        <v>43404</v>
      </c>
      <c r="D41" s="142">
        <v>0.15</v>
      </c>
      <c r="E41" s="142">
        <v>1.19</v>
      </c>
      <c r="F41" s="142">
        <v>-0.3</v>
      </c>
      <c r="G41" s="142">
        <v>-1.52</v>
      </c>
      <c r="H41" s="142">
        <v>2.82</v>
      </c>
      <c r="I41" s="142">
        <v>1.64</v>
      </c>
      <c r="J41" s="142">
        <v>4.88</v>
      </c>
      <c r="K41" s="142">
        <v>1.43</v>
      </c>
      <c r="L41" s="142">
        <v>0.43</v>
      </c>
      <c r="M41" s="142">
        <v>0.54</v>
      </c>
      <c r="N41" s="142">
        <v>10.18</v>
      </c>
      <c r="O41" s="142">
        <v>-2.56</v>
      </c>
      <c r="P41" s="142">
        <v>-6.93</v>
      </c>
      <c r="Q41" s="142">
        <v>-7</v>
      </c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120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</row>
    <row r="42" spans="1:200" ht="15" customHeight="1" x14ac:dyDescent="0.2">
      <c r="A42" s="2"/>
      <c r="B42" s="24" t="str">
        <f t="shared" si="1"/>
        <v>[ROW:NOV_2018]</v>
      </c>
      <c r="C42" s="29">
        <f>IF(OR(Client_Info!$D$14="",Client_Info!$D$15=""),"",IF(EOMONTH(Client_Info!$D$14,34)&lt;=Client_Info!$D$15,EOMONTH(Client_Info!$D$14,34),""))</f>
        <v>43434</v>
      </c>
      <c r="D42" s="142">
        <v>0.16</v>
      </c>
      <c r="E42" s="142">
        <v>-0.41</v>
      </c>
      <c r="F42" s="142">
        <v>0.5</v>
      </c>
      <c r="G42" s="142">
        <v>-4.25</v>
      </c>
      <c r="H42" s="142">
        <v>2.31</v>
      </c>
      <c r="I42" s="142">
        <v>0.85</v>
      </c>
      <c r="J42" s="142">
        <v>-0.98</v>
      </c>
      <c r="K42" s="142">
        <v>-0.5</v>
      </c>
      <c r="L42" s="142">
        <v>-0.49</v>
      </c>
      <c r="M42" s="142">
        <v>-3.47</v>
      </c>
      <c r="N42" s="142">
        <v>6.8</v>
      </c>
      <c r="O42" s="142">
        <v>-1.56</v>
      </c>
      <c r="P42" s="142">
        <v>-1.91</v>
      </c>
      <c r="Q42" s="142">
        <v>-2</v>
      </c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120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</row>
    <row r="43" spans="1:200" ht="15" customHeight="1" x14ac:dyDescent="0.2">
      <c r="A43" s="2"/>
      <c r="B43" s="24" t="str">
        <f t="shared" si="1"/>
        <v>[ROW:DEC_2018]</v>
      </c>
      <c r="C43" s="29">
        <f>IF(OR(Client_Info!$D$14="",Client_Info!$D$15=""),"",IF(EOMONTH(Client_Info!$D$14,35)&lt;=Client_Info!$D$15,EOMONTH(Client_Info!$D$14,35),""))</f>
        <v>43465</v>
      </c>
      <c r="D43" s="142">
        <v>0.17</v>
      </c>
      <c r="E43" s="142">
        <v>0.1</v>
      </c>
      <c r="F43" s="142">
        <v>2.61</v>
      </c>
      <c r="G43" s="142">
        <v>-3.73</v>
      </c>
      <c r="H43" s="142">
        <v>10.7</v>
      </c>
      <c r="I43" s="142">
        <v>1.34</v>
      </c>
      <c r="J43" s="142">
        <v>3.26</v>
      </c>
      <c r="K43" s="142">
        <v>-3.41</v>
      </c>
      <c r="L43" s="142">
        <v>1.17</v>
      </c>
      <c r="M43" s="142">
        <v>2.37</v>
      </c>
      <c r="N43" s="142">
        <v>-1.77</v>
      </c>
      <c r="O43" s="142">
        <v>0.36</v>
      </c>
      <c r="P43" s="142">
        <v>-9.2100000000000009</v>
      </c>
      <c r="Q43" s="142">
        <v>-9</v>
      </c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120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</row>
    <row r="44" spans="1:200" ht="15" customHeight="1" x14ac:dyDescent="0.2">
      <c r="A44" s="2"/>
      <c r="B44" s="24" t="str">
        <f t="shared" si="1"/>
        <v>[ROW:JAN_2019]</v>
      </c>
      <c r="C44" s="29">
        <f>IF(OR(Client_Info!$D$14="",Client_Info!$D$15=""),"",IF(EOMONTH(Client_Info!$D$14,36)&lt;=Client_Info!$D$15,EOMONTH(Client_Info!$D$14,36),""))</f>
        <v>43496</v>
      </c>
      <c r="D44" s="142">
        <v>0.17</v>
      </c>
      <c r="E44" s="142">
        <v>0.59</v>
      </c>
      <c r="F44" s="142">
        <v>-0.06</v>
      </c>
      <c r="G44" s="142">
        <v>1.45</v>
      </c>
      <c r="H44" s="142">
        <v>6.71</v>
      </c>
      <c r="I44" s="142">
        <v>6.05</v>
      </c>
      <c r="J44" s="142">
        <v>3.32</v>
      </c>
      <c r="K44" s="142">
        <v>-0.46</v>
      </c>
      <c r="L44" s="142">
        <v>0.28000000000000003</v>
      </c>
      <c r="M44" s="142">
        <v>1.3</v>
      </c>
      <c r="N44" s="142">
        <v>-8.24</v>
      </c>
      <c r="O44" s="142">
        <v>2.71</v>
      </c>
      <c r="P44" s="142">
        <v>2.46</v>
      </c>
      <c r="Q44" s="142">
        <v>1.9</v>
      </c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120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</row>
    <row r="45" spans="1:200" ht="15" customHeight="1" x14ac:dyDescent="0.2">
      <c r="A45" s="2"/>
      <c r="B45" s="24" t="str">
        <f t="shared" si="1"/>
        <v>[ROW:FEB_2019]</v>
      </c>
      <c r="C45" s="29">
        <f>IF(OR(Client_Info!$D$14="",Client_Info!$D$15=""),"",IF(EOMONTH(Client_Info!$D$14,37)&lt;=Client_Info!$D$15,EOMONTH(Client_Info!$D$14,37),""))</f>
        <v>43524</v>
      </c>
      <c r="D45" s="142">
        <v>0.16</v>
      </c>
      <c r="E45" s="142">
        <v>0.43</v>
      </c>
      <c r="F45" s="142">
        <v>0.8</v>
      </c>
      <c r="G45" s="142">
        <v>0.72</v>
      </c>
      <c r="H45" s="142">
        <v>1.49</v>
      </c>
      <c r="I45" s="142">
        <v>0.37</v>
      </c>
      <c r="J45" s="142">
        <v>-0.54</v>
      </c>
      <c r="K45" s="142">
        <v>0.9</v>
      </c>
      <c r="L45" s="142">
        <v>0.9</v>
      </c>
      <c r="M45" s="142">
        <v>-1.93</v>
      </c>
      <c r="N45" s="142">
        <v>7.7</v>
      </c>
      <c r="O45" s="142">
        <v>2.21</v>
      </c>
      <c r="P45" s="142">
        <v>-7.34</v>
      </c>
      <c r="Q45" s="142">
        <v>-7.49</v>
      </c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120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</row>
    <row r="46" spans="1:200" ht="15" customHeight="1" x14ac:dyDescent="0.2">
      <c r="A46" s="2"/>
      <c r="B46" s="24" t="str">
        <f t="shared" si="1"/>
        <v>[ROW:MAR_2019]</v>
      </c>
      <c r="C46" s="29">
        <f>IF(OR(Client_Info!$D$14="",Client_Info!$D$15=""),"",IF(EOMONTH(Client_Info!$D$14,38)&lt;=Client_Info!$D$15,EOMONTH(Client_Info!$D$14,38),""))</f>
        <v>43555</v>
      </c>
      <c r="D46" s="142">
        <v>0.16</v>
      </c>
      <c r="E46" s="142">
        <v>1.03</v>
      </c>
      <c r="F46" s="142">
        <v>0.52</v>
      </c>
      <c r="G46" s="142">
        <v>-3.97</v>
      </c>
      <c r="H46" s="142">
        <v>-0.9</v>
      </c>
      <c r="I46" s="142">
        <v>0.96</v>
      </c>
      <c r="J46" s="142">
        <v>1.4</v>
      </c>
      <c r="K46" s="142">
        <v>-1.8</v>
      </c>
      <c r="L46" s="142">
        <v>-0.61</v>
      </c>
      <c r="M46" s="142">
        <v>0.78</v>
      </c>
      <c r="N46" s="142">
        <v>7.0000000000000007E-2</v>
      </c>
      <c r="O46" s="142">
        <v>1.96</v>
      </c>
      <c r="P46" s="142">
        <v>-5.1100000000000003</v>
      </c>
      <c r="Q46" s="142">
        <v>-4.75</v>
      </c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120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</row>
    <row r="47" spans="1:200" ht="15" customHeight="1" x14ac:dyDescent="0.2">
      <c r="A47" s="2"/>
      <c r="B47" s="24" t="str">
        <f t="shared" si="1"/>
        <v>[ROW:APR_2019]</v>
      </c>
      <c r="C47" s="29">
        <f>IF(OR(Client_Info!$D$14="",Client_Info!$D$15=""),"",IF(EOMONTH(Client_Info!$D$14,39)&lt;=Client_Info!$D$15,EOMONTH(Client_Info!$D$14,39),""))</f>
        <v>43585</v>
      </c>
      <c r="D47" s="142">
        <v>0.16</v>
      </c>
      <c r="E47" s="142">
        <v>-0.28999999999999998</v>
      </c>
      <c r="F47" s="142">
        <v>1.91</v>
      </c>
      <c r="G47" s="142">
        <v>-4.4800000000000004</v>
      </c>
      <c r="H47" s="142">
        <v>2.1</v>
      </c>
      <c r="I47" s="142">
        <v>2.93</v>
      </c>
      <c r="J47" s="142">
        <v>3.24</v>
      </c>
      <c r="K47" s="142">
        <v>0.6</v>
      </c>
      <c r="L47" s="142">
        <v>-0.09</v>
      </c>
      <c r="M47" s="142">
        <v>-1.06</v>
      </c>
      <c r="N47" s="142">
        <v>7.1</v>
      </c>
      <c r="O47" s="142">
        <v>2.48</v>
      </c>
      <c r="P47" s="142">
        <v>2.0499999999999998</v>
      </c>
      <c r="Q47" s="142">
        <v>1.85</v>
      </c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120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</row>
    <row r="48" spans="1:200" ht="15" customHeight="1" x14ac:dyDescent="0.2">
      <c r="A48" s="2"/>
      <c r="B48" s="24" t="str">
        <f t="shared" si="1"/>
        <v>[ROW:MAY_2019]</v>
      </c>
      <c r="C48" s="29">
        <f>IF(OR(Client_Info!$D$14="",Client_Info!$D$15=""),"",IF(EOMONTH(Client_Info!$D$14,40)&lt;=Client_Info!$D$15,EOMONTH(Client_Info!$D$14,40),""))</f>
        <v>43616</v>
      </c>
      <c r="D48" s="142">
        <v>0.15</v>
      </c>
      <c r="E48" s="142">
        <v>0.8</v>
      </c>
      <c r="F48" s="142">
        <v>3.46</v>
      </c>
      <c r="G48" s="142">
        <v>0.61</v>
      </c>
      <c r="H48" s="142">
        <v>0.1</v>
      </c>
      <c r="I48" s="142">
        <v>3.05</v>
      </c>
      <c r="J48" s="142">
        <v>-0.24</v>
      </c>
      <c r="K48" s="142">
        <v>0.31</v>
      </c>
      <c r="L48" s="142">
        <v>1.25</v>
      </c>
      <c r="M48" s="142">
        <v>0.96</v>
      </c>
      <c r="N48" s="142">
        <v>-7.62</v>
      </c>
      <c r="O48" s="142">
        <v>3.25</v>
      </c>
      <c r="P48" s="142">
        <v>3.91</v>
      </c>
      <c r="Q48" s="142">
        <v>4.2</v>
      </c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120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</row>
    <row r="49" spans="1:200" ht="15" customHeight="1" x14ac:dyDescent="0.2">
      <c r="A49" s="2"/>
      <c r="B49" s="24" t="str">
        <f t="shared" si="1"/>
        <v>[ROW:JUN_2019]</v>
      </c>
      <c r="C49" s="29">
        <f>IF(OR(Client_Info!$D$14="",Client_Info!$D$15=""),"",IF(EOMONTH(Client_Info!$D$14,41)&lt;=Client_Info!$D$15,EOMONTH(Client_Info!$D$14,41),""))</f>
        <v>43646</v>
      </c>
      <c r="D49" s="142">
        <v>0.15</v>
      </c>
      <c r="E49" s="142">
        <v>-0.09</v>
      </c>
      <c r="F49" s="142">
        <v>-7.0000000000000007E-2</v>
      </c>
      <c r="G49" s="142">
        <v>4.99</v>
      </c>
      <c r="H49" s="142">
        <v>4.24</v>
      </c>
      <c r="I49" s="142">
        <v>3.24</v>
      </c>
      <c r="J49" s="142">
        <v>0.06</v>
      </c>
      <c r="K49" s="142">
        <v>1.17</v>
      </c>
      <c r="L49" s="142">
        <v>-0.01</v>
      </c>
      <c r="M49" s="142">
        <v>3.18</v>
      </c>
      <c r="N49" s="142">
        <v>-2.4500000000000002</v>
      </c>
      <c r="O49" s="142">
        <v>3.36</v>
      </c>
      <c r="P49" s="142">
        <v>1.98</v>
      </c>
      <c r="Q49" s="142">
        <v>1.74</v>
      </c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120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</row>
    <row r="50" spans="1:200" ht="15" customHeight="1" x14ac:dyDescent="0.2">
      <c r="A50" s="2"/>
      <c r="B50" s="24" t="str">
        <f t="shared" si="1"/>
        <v>[ROW:JUL_2019]</v>
      </c>
      <c r="C50" s="29">
        <f>IF(OR(Client_Info!$D$14="",Client_Info!$D$15=""),"",IF(EOMONTH(Client_Info!$D$14,42)&lt;=Client_Info!$D$15,EOMONTH(Client_Info!$D$14,42),""))</f>
        <v>43677</v>
      </c>
      <c r="D50" s="142">
        <v>0.14000000000000001</v>
      </c>
      <c r="E50" s="142">
        <v>1.06</v>
      </c>
      <c r="F50" s="142">
        <v>-0.02</v>
      </c>
      <c r="G50" s="142">
        <v>0.56999999999999995</v>
      </c>
      <c r="H50" s="142">
        <v>11.04</v>
      </c>
      <c r="I50" s="142">
        <v>1.98</v>
      </c>
      <c r="J50" s="142">
        <v>-0.59</v>
      </c>
      <c r="K50" s="142">
        <v>0.51</v>
      </c>
      <c r="L50" s="142">
        <v>2.41</v>
      </c>
      <c r="M50" s="142">
        <v>6.91</v>
      </c>
      <c r="N50" s="142">
        <v>0.69</v>
      </c>
      <c r="O50" s="142">
        <v>1.91</v>
      </c>
      <c r="P50" s="142">
        <v>0.85</v>
      </c>
      <c r="Q50" s="142">
        <v>0.5</v>
      </c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120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</row>
    <row r="51" spans="1:200" ht="15" customHeight="1" x14ac:dyDescent="0.2">
      <c r="A51" s="2"/>
      <c r="B51" s="24" t="str">
        <f t="shared" si="1"/>
        <v>[ROW:AUG_2019]</v>
      </c>
      <c r="C51" s="29">
        <f>IF(OR(Client_Info!$D$14="",Client_Info!$D$15=""),"",IF(EOMONTH(Client_Info!$D$14,43)&lt;=Client_Info!$D$15,EOMONTH(Client_Info!$D$14,43),""))</f>
        <v>43708</v>
      </c>
      <c r="D51" s="142">
        <v>0.14000000000000001</v>
      </c>
      <c r="E51" s="142">
        <v>0.92</v>
      </c>
      <c r="F51" s="142">
        <v>1.75</v>
      </c>
      <c r="G51" s="142">
        <v>-3.69</v>
      </c>
      <c r="H51" s="142">
        <v>5.6</v>
      </c>
      <c r="I51" s="142">
        <v>-2.14</v>
      </c>
      <c r="J51" s="142">
        <v>-1.34</v>
      </c>
      <c r="K51" s="142">
        <v>-1.07</v>
      </c>
      <c r="L51" s="142">
        <v>-0.04</v>
      </c>
      <c r="M51" s="142">
        <v>-4.5</v>
      </c>
      <c r="N51" s="142">
        <v>0.91</v>
      </c>
      <c r="O51" s="142">
        <v>0.94</v>
      </c>
      <c r="P51" s="142">
        <v>-0.55000000000000004</v>
      </c>
      <c r="Q51" s="142">
        <v>-0.3</v>
      </c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120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</row>
    <row r="52" spans="1:200" ht="15" customHeight="1" x14ac:dyDescent="0.2">
      <c r="A52" s="2"/>
      <c r="B52" s="24" t="str">
        <f t="shared" si="1"/>
        <v>[ROW:SEP_2019]</v>
      </c>
      <c r="C52" s="29">
        <f>IF(OR(Client_Info!$D$14="",Client_Info!$D$15=""),"",IF(EOMONTH(Client_Info!$D$14,44)&lt;=Client_Info!$D$15,EOMONTH(Client_Info!$D$14,44),""))</f>
        <v>43738</v>
      </c>
      <c r="D52" s="142">
        <v>0.14000000000000001</v>
      </c>
      <c r="E52" s="142">
        <v>-0.87</v>
      </c>
      <c r="F52" s="142">
        <v>1.33</v>
      </c>
      <c r="G52" s="142">
        <v>-1.75</v>
      </c>
      <c r="H52" s="142">
        <v>4.6100000000000003</v>
      </c>
      <c r="I52" s="142">
        <v>4.2699999999999996</v>
      </c>
      <c r="J52" s="142">
        <v>-0.71</v>
      </c>
      <c r="K52" s="142">
        <v>2.06</v>
      </c>
      <c r="L52" s="142">
        <v>0.68</v>
      </c>
      <c r="M52" s="142">
        <v>9.1199999999999992</v>
      </c>
      <c r="N52" s="142">
        <v>-1.67</v>
      </c>
      <c r="O52" s="142">
        <v>1.5</v>
      </c>
      <c r="P52" s="142">
        <v>-5.1100000000000003</v>
      </c>
      <c r="Q52" s="142">
        <v>-5.4</v>
      </c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120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</row>
    <row r="53" spans="1:200" ht="15" customHeight="1" x14ac:dyDescent="0.2">
      <c r="A53" s="2"/>
      <c r="B53" s="24" t="str">
        <f t="shared" si="1"/>
        <v>[ROW:OCT_2019]</v>
      </c>
      <c r="C53" s="29">
        <f>IF(OR(Client_Info!$D$14="",Client_Info!$D$15=""),"",IF(EOMONTH(Client_Info!$D$14,45)&lt;=Client_Info!$D$15,EOMONTH(Client_Info!$D$14,45),""))</f>
        <v>43769</v>
      </c>
      <c r="D53" s="142">
        <v>0.13</v>
      </c>
      <c r="E53" s="142">
        <v>1.46</v>
      </c>
      <c r="F53" s="142">
        <v>2.67</v>
      </c>
      <c r="G53" s="142">
        <v>-3.24</v>
      </c>
      <c r="H53" s="142">
        <v>-0.01</v>
      </c>
      <c r="I53" s="142">
        <v>-2.15</v>
      </c>
      <c r="J53" s="142">
        <v>-1.7</v>
      </c>
      <c r="K53" s="142">
        <v>0.1</v>
      </c>
      <c r="L53" s="142">
        <v>1.49</v>
      </c>
      <c r="M53" s="142">
        <v>-7.39</v>
      </c>
      <c r="N53" s="142">
        <v>3.9</v>
      </c>
      <c r="O53" s="142">
        <v>1.87</v>
      </c>
      <c r="P53" s="142">
        <v>-1.99</v>
      </c>
      <c r="Q53" s="142">
        <v>-2.12</v>
      </c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120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</row>
    <row r="54" spans="1:200" ht="15" customHeight="1" x14ac:dyDescent="0.2">
      <c r="A54" s="2"/>
      <c r="B54" s="24" t="str">
        <f t="shared" si="1"/>
        <v>[ROW:NOV_2019]</v>
      </c>
      <c r="C54" s="29">
        <f>IF(OR(Client_Info!$D$14="",Client_Info!$D$15=""),"",IF(EOMONTH(Client_Info!$D$14,46)&lt;=Client_Info!$D$15,EOMONTH(Client_Info!$D$14,46),""))</f>
        <v>43799</v>
      </c>
      <c r="D54" s="142">
        <v>0.13</v>
      </c>
      <c r="E54" s="142">
        <v>-0.41</v>
      </c>
      <c r="F54" s="142">
        <v>1.22</v>
      </c>
      <c r="G54" s="142">
        <v>-6.79</v>
      </c>
      <c r="H54" s="142">
        <v>2.4700000000000002</v>
      </c>
      <c r="I54" s="142">
        <v>1.2</v>
      </c>
      <c r="J54" s="142">
        <v>0.48</v>
      </c>
      <c r="K54" s="142">
        <v>0.28999999999999998</v>
      </c>
      <c r="L54" s="142">
        <v>-1.22</v>
      </c>
      <c r="M54" s="142">
        <v>-0.11</v>
      </c>
      <c r="N54" s="142">
        <v>-4.88</v>
      </c>
      <c r="O54" s="142">
        <v>3.1</v>
      </c>
      <c r="P54" s="142">
        <v>-0.75</v>
      </c>
      <c r="Q54" s="142">
        <v>-0.99</v>
      </c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120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</row>
    <row r="55" spans="1:200" ht="15" customHeight="1" x14ac:dyDescent="0.2">
      <c r="A55" s="2"/>
      <c r="B55" s="24" t="str">
        <f t="shared" si="1"/>
        <v>[ROW:DEC_2019]</v>
      </c>
      <c r="C55" s="29">
        <f>IF(OR(Client_Info!$D$14="",Client_Info!$D$15=""),"",IF(EOMONTH(Client_Info!$D$14,47)&lt;=Client_Info!$D$15,EOMONTH(Client_Info!$D$14,47),""))</f>
        <v>43830</v>
      </c>
      <c r="D55" s="142">
        <v>0.12</v>
      </c>
      <c r="E55" s="142">
        <v>1.1399999999999999</v>
      </c>
      <c r="F55" s="142">
        <v>0.13</v>
      </c>
      <c r="G55" s="142">
        <v>-2.62</v>
      </c>
      <c r="H55" s="142">
        <v>7.16</v>
      </c>
      <c r="I55" s="142">
        <v>-1.24</v>
      </c>
      <c r="J55" s="142">
        <v>-0.92</v>
      </c>
      <c r="K55" s="142">
        <v>-1.01</v>
      </c>
      <c r="L55" s="142">
        <v>-1.62</v>
      </c>
      <c r="M55" s="142">
        <v>2.88</v>
      </c>
      <c r="N55" s="142">
        <v>-7.0000000000000007E-2</v>
      </c>
      <c r="O55" s="142">
        <v>3.17</v>
      </c>
      <c r="P55" s="142">
        <v>6.15</v>
      </c>
      <c r="Q55" s="142">
        <v>5.58</v>
      </c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120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</row>
    <row r="56" spans="1:200" ht="15" customHeight="1" x14ac:dyDescent="0.2">
      <c r="A56" s="2"/>
      <c r="B56" s="24" t="str">
        <f t="shared" si="1"/>
        <v>[ROW:JAN_2020]</v>
      </c>
      <c r="C56" s="29">
        <f>IF(OR(Client_Info!$D$14="",Client_Info!$D$15=""),"",IF(EOMONTH(Client_Info!$D$14,48)&lt;=Client_Info!$D$15,EOMONTH(Client_Info!$D$14,48),""))</f>
        <v>43861</v>
      </c>
      <c r="D56" s="142">
        <v>0.12</v>
      </c>
      <c r="E56" s="142">
        <v>0.63</v>
      </c>
      <c r="F56" s="142">
        <v>1.22</v>
      </c>
      <c r="G56" s="142">
        <v>1.22</v>
      </c>
      <c r="H56" s="142">
        <v>3.41</v>
      </c>
      <c r="I56" s="142">
        <v>0.35</v>
      </c>
      <c r="J56" s="142">
        <v>0.82</v>
      </c>
      <c r="K56" s="142">
        <v>-0.31</v>
      </c>
      <c r="L56" s="142">
        <v>-1.35</v>
      </c>
      <c r="M56" s="142">
        <v>1.64</v>
      </c>
      <c r="N56" s="142">
        <v>1.29</v>
      </c>
      <c r="O56" s="142">
        <v>2.81</v>
      </c>
      <c r="P56" s="142">
        <v>2.41</v>
      </c>
      <c r="Q56" s="142">
        <v>2.4900000000000002</v>
      </c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120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</row>
    <row r="57" spans="1:200" ht="15" customHeight="1" x14ac:dyDescent="0.2">
      <c r="A57" s="2"/>
      <c r="B57" s="24" t="str">
        <f t="shared" si="1"/>
        <v>[ROW:FEB_2020]</v>
      </c>
      <c r="C57" s="29">
        <f>IF(OR(Client_Info!$D$14="",Client_Info!$D$15=""),"",IF(EOMONTH(Client_Info!$D$14,49)&lt;=Client_Info!$D$15,EOMONTH(Client_Info!$D$14,49),""))</f>
        <v>43890</v>
      </c>
      <c r="D57" s="142">
        <v>0.11</v>
      </c>
      <c r="E57" s="142">
        <v>1.5</v>
      </c>
      <c r="F57" s="142">
        <v>1.82</v>
      </c>
      <c r="G57" s="142">
        <v>4.97</v>
      </c>
      <c r="H57" s="142">
        <v>8.26</v>
      </c>
      <c r="I57" s="142">
        <v>1.26</v>
      </c>
      <c r="J57" s="142">
        <v>-2.2799999999999998</v>
      </c>
      <c r="K57" s="142">
        <v>-0.94</v>
      </c>
      <c r="L57" s="142">
        <v>1.87</v>
      </c>
      <c r="M57" s="142">
        <v>-9</v>
      </c>
      <c r="N57" s="142">
        <v>-6</v>
      </c>
      <c r="O57" s="142">
        <v>2</v>
      </c>
      <c r="P57" s="142">
        <v>-8.23</v>
      </c>
      <c r="Q57" s="142">
        <v>-8</v>
      </c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120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</row>
    <row r="58" spans="1:200" ht="15" customHeight="1" x14ac:dyDescent="0.2">
      <c r="A58" s="2"/>
      <c r="B58" s="24" t="str">
        <f t="shared" si="1"/>
        <v>[ROW:MAR_2020]</v>
      </c>
      <c r="C58" s="29">
        <f>IF(OR(Client_Info!$D$14="",Client_Info!$D$15=""),"",IF(EOMONTH(Client_Info!$D$14,50)&lt;=Client_Info!$D$15,EOMONTH(Client_Info!$D$14,50),""))</f>
        <v>43921</v>
      </c>
      <c r="D58" s="142">
        <v>0.1</v>
      </c>
      <c r="E58" s="142">
        <v>-0.6</v>
      </c>
      <c r="F58" s="142">
        <v>1.49</v>
      </c>
      <c r="G58" s="142">
        <v>-6</v>
      </c>
      <c r="H58" s="142">
        <v>-8</v>
      </c>
      <c r="I58" s="142">
        <v>-6</v>
      </c>
      <c r="J58" s="142">
        <v>-4</v>
      </c>
      <c r="K58" s="142">
        <v>-1</v>
      </c>
      <c r="L58" s="142">
        <v>-3</v>
      </c>
      <c r="M58" s="142">
        <v>-14</v>
      </c>
      <c r="N58" s="142">
        <v>-16</v>
      </c>
      <c r="O58" s="142">
        <v>-2</v>
      </c>
      <c r="P58" s="142">
        <v>-12.77</v>
      </c>
      <c r="Q58" s="142">
        <v>-12.5</v>
      </c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120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</row>
    <row r="59" spans="1:200" ht="15" customHeight="1" x14ac:dyDescent="0.2">
      <c r="A59" s="2"/>
      <c r="B59" s="24" t="str">
        <f t="shared" si="1"/>
        <v>[ROW:APR_2020]</v>
      </c>
      <c r="C59" s="29">
        <f>IF(OR(Client_Info!$D$14="",Client_Info!$D$15=""),"",IF(EOMONTH(Client_Info!$D$14,51)&lt;=Client_Info!$D$15,EOMONTH(Client_Info!$D$14,51),""))</f>
        <v>43951</v>
      </c>
      <c r="D59" s="142">
        <v>0.09</v>
      </c>
      <c r="E59" s="142">
        <v>1.8</v>
      </c>
      <c r="F59" s="142">
        <v>1.1299999999999999</v>
      </c>
      <c r="G59" s="142">
        <v>6.12</v>
      </c>
      <c r="H59" s="142">
        <v>0.81</v>
      </c>
      <c r="I59" s="142">
        <v>5</v>
      </c>
      <c r="J59" s="142">
        <v>3</v>
      </c>
      <c r="K59" s="142">
        <v>2.8</v>
      </c>
      <c r="L59" s="142">
        <v>2</v>
      </c>
      <c r="M59" s="142">
        <v>11</v>
      </c>
      <c r="N59" s="142">
        <v>9</v>
      </c>
      <c r="O59" s="142">
        <v>2.92</v>
      </c>
      <c r="P59" s="142">
        <v>12.76</v>
      </c>
      <c r="Q59" s="142">
        <v>13</v>
      </c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120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</row>
    <row r="60" spans="1:200" ht="15" customHeight="1" x14ac:dyDescent="0.2">
      <c r="A60" s="2"/>
      <c r="B60" s="24" t="str">
        <f t="shared" si="1"/>
        <v>[ROW:MAY_2020]</v>
      </c>
      <c r="C60" s="29">
        <f>IF(OR(Client_Info!$D$14="",Client_Info!$D$15=""),"",IF(EOMONTH(Client_Info!$D$14,52)&lt;=Client_Info!$D$15,EOMONTH(Client_Info!$D$14,52),""))</f>
        <v>43982</v>
      </c>
      <c r="D60" s="142">
        <v>0.08</v>
      </c>
      <c r="E60" s="142">
        <v>0.19</v>
      </c>
      <c r="F60" s="142">
        <v>1.77</v>
      </c>
      <c r="G60" s="142">
        <v>0.36</v>
      </c>
      <c r="H60" s="142">
        <v>4.18</v>
      </c>
      <c r="I60" s="142">
        <v>4.2300000000000004</v>
      </c>
      <c r="J60" s="142">
        <v>-3.04</v>
      </c>
      <c r="K60" s="142">
        <v>-1.65</v>
      </c>
      <c r="L60" s="142">
        <v>-0.23</v>
      </c>
      <c r="M60" s="142">
        <v>-1.88</v>
      </c>
      <c r="N60" s="142">
        <v>-7.3</v>
      </c>
      <c r="O60" s="142">
        <v>4.1100000000000003</v>
      </c>
      <c r="P60" s="142">
        <v>-1.95</v>
      </c>
      <c r="Q60" s="142">
        <v>-1.93</v>
      </c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120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</row>
    <row r="61" spans="1:200" ht="15" customHeight="1" x14ac:dyDescent="0.2">
      <c r="A61" s="2"/>
      <c r="B61" s="24" t="str">
        <f t="shared" si="1"/>
        <v>[ROW:JUN_2020]</v>
      </c>
      <c r="C61" s="29">
        <f>IF(OR(Client_Info!$D$14="",Client_Info!$D$15=""),"",IF(EOMONTH(Client_Info!$D$14,53)&lt;=Client_Info!$D$15,EOMONTH(Client_Info!$D$14,53),""))</f>
        <v>44012</v>
      </c>
      <c r="D61" s="142">
        <v>7.0000000000000007E-2</v>
      </c>
      <c r="E61" s="142">
        <v>-0.14000000000000001</v>
      </c>
      <c r="F61" s="142">
        <v>1.89</v>
      </c>
      <c r="G61" s="142">
        <v>0.81</v>
      </c>
      <c r="H61" s="142">
        <v>6.55</v>
      </c>
      <c r="I61" s="142">
        <v>1.55</v>
      </c>
      <c r="J61" s="142">
        <v>1.06</v>
      </c>
      <c r="K61" s="142">
        <v>-2</v>
      </c>
      <c r="L61" s="142">
        <v>0.63</v>
      </c>
      <c r="M61" s="142">
        <v>3.93</v>
      </c>
      <c r="N61" s="142">
        <v>7.31</v>
      </c>
      <c r="O61" s="142">
        <v>2.4900000000000002</v>
      </c>
      <c r="P61" s="142">
        <v>3.75</v>
      </c>
      <c r="Q61" s="142">
        <v>3.65</v>
      </c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120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</row>
    <row r="62" spans="1:200" ht="15" customHeight="1" x14ac:dyDescent="0.2">
      <c r="A62" s="2"/>
      <c r="B62" s="24" t="str">
        <f t="shared" si="1"/>
        <v>[ROW:JUL_2020]</v>
      </c>
      <c r="C62" s="29">
        <f>IF(OR(Client_Info!$D$14="",Client_Info!$D$15=""),"",IF(EOMONTH(Client_Info!$D$14,54)&lt;=Client_Info!$D$15,EOMONTH(Client_Info!$D$14,54),""))</f>
        <v>44043</v>
      </c>
      <c r="D62" s="142">
        <v>0.06</v>
      </c>
      <c r="E62" s="142">
        <v>1.1299999999999999</v>
      </c>
      <c r="F62" s="142">
        <v>2.14</v>
      </c>
      <c r="G62" s="142">
        <v>6.95</v>
      </c>
      <c r="H62" s="142">
        <v>2.86</v>
      </c>
      <c r="I62" s="142">
        <v>-0.06</v>
      </c>
      <c r="J62" s="142">
        <v>2.54</v>
      </c>
      <c r="K62" s="142">
        <v>2.46</v>
      </c>
      <c r="L62" s="142">
        <v>2.2000000000000002</v>
      </c>
      <c r="M62" s="142">
        <v>1.94</v>
      </c>
      <c r="N62" s="142">
        <v>2.39</v>
      </c>
      <c r="O62" s="142">
        <v>4.17</v>
      </c>
      <c r="P62" s="142">
        <v>5.55</v>
      </c>
      <c r="Q62" s="142">
        <v>5.46</v>
      </c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120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</row>
    <row r="63" spans="1:200" ht="15" customHeight="1" x14ac:dyDescent="0.2">
      <c r="A63" s="2"/>
      <c r="B63" s="24" t="str">
        <f t="shared" si="1"/>
        <v>[ROW:AUG_2020]</v>
      </c>
      <c r="C63" s="29">
        <f>IF(OR(Client_Info!$D$14="",Client_Info!$D$15=""),"",IF(EOMONTH(Client_Info!$D$14,55)&lt;=Client_Info!$D$15,EOMONTH(Client_Info!$D$14,55),""))</f>
        <v>44074</v>
      </c>
      <c r="D63" s="142">
        <v>0.05</v>
      </c>
      <c r="E63" s="142">
        <v>-1.66</v>
      </c>
      <c r="F63" s="142">
        <v>1.29</v>
      </c>
      <c r="G63" s="142">
        <v>4.38</v>
      </c>
      <c r="H63" s="142">
        <v>-4.87</v>
      </c>
      <c r="I63" s="142">
        <v>2.73</v>
      </c>
      <c r="J63" s="142">
        <v>-1.68</v>
      </c>
      <c r="K63" s="142">
        <v>0.03</v>
      </c>
      <c r="L63" s="142">
        <v>2.73</v>
      </c>
      <c r="M63" s="142">
        <v>-2.2999999999999998</v>
      </c>
      <c r="N63" s="142">
        <v>-3.22</v>
      </c>
      <c r="O63" s="142">
        <v>1.21</v>
      </c>
      <c r="P63" s="142">
        <v>5.28</v>
      </c>
      <c r="Q63" s="142">
        <v>5.03</v>
      </c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120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</row>
    <row r="64" spans="1:200" ht="15" customHeight="1" x14ac:dyDescent="0.2">
      <c r="A64" s="2"/>
      <c r="B64" s="24" t="str">
        <f t="shared" si="1"/>
        <v>[ROW:SEP_2020]</v>
      </c>
      <c r="C64" s="29">
        <f>IF(OR(Client_Info!$D$14="",Client_Info!$D$15=""),"",IF(EOMONTH(Client_Info!$D$14,56)&lt;=Client_Info!$D$15,EOMONTH(Client_Info!$D$14,56),""))</f>
        <v>44104</v>
      </c>
      <c r="D64" s="142">
        <v>0.04</v>
      </c>
      <c r="E64" s="142">
        <v>-1.01</v>
      </c>
      <c r="F64" s="142">
        <v>0.35</v>
      </c>
      <c r="G64" s="142">
        <v>1.1599999999999999</v>
      </c>
      <c r="H64" s="142">
        <v>-3.83</v>
      </c>
      <c r="I64" s="142">
        <v>3.25</v>
      </c>
      <c r="J64" s="142">
        <v>3.31</v>
      </c>
      <c r="K64" s="142">
        <v>-0.63</v>
      </c>
      <c r="L64" s="142">
        <v>2.8</v>
      </c>
      <c r="M64" s="142">
        <v>4.1399999999999997</v>
      </c>
      <c r="N64" s="142">
        <v>8.73</v>
      </c>
      <c r="O64" s="142">
        <v>0.77</v>
      </c>
      <c r="P64" s="142">
        <v>-2.63</v>
      </c>
      <c r="Q64" s="142">
        <v>-2.63</v>
      </c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120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</row>
    <row r="65" spans="1:200" ht="15" customHeight="1" x14ac:dyDescent="0.2">
      <c r="A65" s="2"/>
      <c r="B65" s="24" t="str">
        <f t="shared" si="1"/>
        <v>[ROW:OCT_2020]</v>
      </c>
      <c r="C65" s="29">
        <f>IF(OR(Client_Info!$D$14="",Client_Info!$D$15=""),"",IF(EOMONTH(Client_Info!$D$14,57)&lt;=Client_Info!$D$15,EOMONTH(Client_Info!$D$14,57),""))</f>
        <v>44135</v>
      </c>
      <c r="D65" s="142">
        <v>0.03</v>
      </c>
      <c r="E65" s="142">
        <v>-1.02</v>
      </c>
      <c r="F65" s="142">
        <v>0.71</v>
      </c>
      <c r="G65" s="142">
        <v>1.27</v>
      </c>
      <c r="H65" s="142">
        <v>-0.71</v>
      </c>
      <c r="I65" s="142">
        <v>-2.34</v>
      </c>
      <c r="J65" s="142">
        <v>1.1399999999999999</v>
      </c>
      <c r="K65" s="142">
        <v>1.83</v>
      </c>
      <c r="L65" s="142">
        <v>1.81</v>
      </c>
      <c r="M65" s="142">
        <v>1.74</v>
      </c>
      <c r="N65" s="142">
        <v>1.27</v>
      </c>
      <c r="O65" s="142">
        <v>-0.54</v>
      </c>
      <c r="P65" s="142">
        <v>0.1</v>
      </c>
      <c r="Q65" s="142">
        <v>-0.34</v>
      </c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120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</row>
    <row r="66" spans="1:200" ht="15" customHeight="1" x14ac:dyDescent="0.2">
      <c r="A66" s="2"/>
      <c r="B66" s="24" t="str">
        <f t="shared" si="1"/>
        <v>[ROW:NOV_2020]</v>
      </c>
      <c r="C66" s="29">
        <f>IF(OR(Client_Info!$D$14="",Client_Info!$D$15=""),"",IF(EOMONTH(Client_Info!$D$14,58)&lt;=Client_Info!$D$15,EOMONTH(Client_Info!$D$14,58),""))</f>
        <v>44165</v>
      </c>
      <c r="D66" s="142">
        <v>0.02</v>
      </c>
      <c r="E66" s="142">
        <v>1.31</v>
      </c>
      <c r="F66" s="142">
        <v>1.93</v>
      </c>
      <c r="G66" s="142">
        <v>1.43</v>
      </c>
      <c r="H66" s="142">
        <v>1.44</v>
      </c>
      <c r="I66" s="142">
        <v>1.88</v>
      </c>
      <c r="J66" s="142">
        <v>-0.8</v>
      </c>
      <c r="K66" s="142">
        <v>-0.54</v>
      </c>
      <c r="L66" s="142">
        <v>1.6</v>
      </c>
      <c r="M66" s="142">
        <v>3.79</v>
      </c>
      <c r="N66" s="142">
        <v>6.79</v>
      </c>
      <c r="O66" s="142">
        <v>-0.27</v>
      </c>
      <c r="P66" s="142">
        <v>2.36</v>
      </c>
      <c r="Q66" s="142">
        <v>2.4300000000000002</v>
      </c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120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</row>
    <row r="67" spans="1:200" ht="15" customHeight="1" x14ac:dyDescent="0.2">
      <c r="A67" s="2"/>
      <c r="B67" s="24" t="str">
        <f t="shared" si="1"/>
        <v>[ROW:DEC_2020]</v>
      </c>
      <c r="C67" s="29">
        <f>IF(OR(Client_Info!$D$14="",Client_Info!$D$15=""),"",IF(EOMONTH(Client_Info!$D$14,59)&lt;=Client_Info!$D$15,EOMONTH(Client_Info!$D$14,59),""))</f>
        <v>44196</v>
      </c>
      <c r="D67" s="142">
        <v>0.01</v>
      </c>
      <c r="E67" s="142">
        <v>2.1800000000000002</v>
      </c>
      <c r="F67" s="142">
        <v>-0.4</v>
      </c>
      <c r="G67" s="142">
        <v>0.23</v>
      </c>
      <c r="H67" s="142">
        <v>3.75</v>
      </c>
      <c r="I67" s="142">
        <v>2.12</v>
      </c>
      <c r="J67" s="142">
        <v>0.32</v>
      </c>
      <c r="K67" s="142">
        <v>2.97</v>
      </c>
      <c r="L67" s="142">
        <v>1.1000000000000001</v>
      </c>
      <c r="M67" s="142">
        <v>3.04</v>
      </c>
      <c r="N67" s="142">
        <v>1.02</v>
      </c>
      <c r="O67" s="142">
        <v>1.06</v>
      </c>
      <c r="P67" s="142">
        <v>6.04</v>
      </c>
      <c r="Q67" s="142">
        <v>5.22</v>
      </c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120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</row>
    <row r="68" spans="1:200" ht="15" customHeight="1" x14ac:dyDescent="0.2">
      <c r="A68" s="2"/>
      <c r="B68" s="24" t="str">
        <f t="shared" si="1"/>
        <v>[ROW:JAN_2021]</v>
      </c>
      <c r="C68" s="29">
        <f>IF(OR(Client_Info!$D$14="",Client_Info!$D$15=""),"",IF(EOMONTH(Client_Info!$D$14,60)&lt;=Client_Info!$D$15,EOMONTH(Client_Info!$D$14,60),""))</f>
        <v>44227</v>
      </c>
      <c r="D68" s="142">
        <v>0.01</v>
      </c>
      <c r="E68" s="142">
        <v>0.09</v>
      </c>
      <c r="F68" s="142">
        <v>0.97</v>
      </c>
      <c r="G68" s="142">
        <v>-1.34</v>
      </c>
      <c r="H68" s="142">
        <v>1.02</v>
      </c>
      <c r="I68" s="142">
        <v>-0.19</v>
      </c>
      <c r="J68" s="142">
        <v>1.38</v>
      </c>
      <c r="K68" s="142">
        <v>1.31</v>
      </c>
      <c r="L68" s="142">
        <v>1.32</v>
      </c>
      <c r="M68" s="142">
        <v>-2.85</v>
      </c>
      <c r="N68" s="142">
        <v>11.37</v>
      </c>
      <c r="O68" s="142">
        <v>1.07</v>
      </c>
      <c r="P68" s="142">
        <v>-0.89</v>
      </c>
      <c r="Q68" s="142">
        <v>-1.07</v>
      </c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120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</row>
    <row r="69" spans="1:200" ht="15" customHeight="1" x14ac:dyDescent="0.2">
      <c r="A69" s="2"/>
      <c r="B69" s="24" t="str">
        <f t="shared" si="1"/>
        <v>[ROW:FEB_2021]</v>
      </c>
      <c r="C69" s="29">
        <f>IF(OR(Client_Info!$D$14="",Client_Info!$D$15=""),"",IF(EOMONTH(Client_Info!$D$14,61)&lt;=Client_Info!$D$15,EOMONTH(Client_Info!$D$14,61),""))</f>
        <v>44255</v>
      </c>
      <c r="D69" s="142">
        <v>0.01</v>
      </c>
      <c r="E69" s="142">
        <v>0.01</v>
      </c>
      <c r="F69" s="142">
        <v>0.09</v>
      </c>
      <c r="G69" s="142">
        <v>-1.17</v>
      </c>
      <c r="H69" s="142">
        <v>-3.13</v>
      </c>
      <c r="I69" s="142">
        <v>3.68</v>
      </c>
      <c r="J69" s="142">
        <v>0.55000000000000004</v>
      </c>
      <c r="K69" s="142">
        <v>-0.37</v>
      </c>
      <c r="L69" s="142">
        <v>-0.22</v>
      </c>
      <c r="M69" s="142">
        <v>-1.76</v>
      </c>
      <c r="N69" s="142">
        <v>9.7899999999999991</v>
      </c>
      <c r="O69" s="142">
        <v>0.51</v>
      </c>
      <c r="P69" s="142">
        <v>-0.06</v>
      </c>
      <c r="Q69" s="142">
        <v>0.2</v>
      </c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120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</row>
    <row r="70" spans="1:200" ht="15" customHeight="1" x14ac:dyDescent="0.2">
      <c r="A70" s="2"/>
      <c r="B70" s="24" t="str">
        <f t="shared" si="1"/>
        <v>[ROW:MAR_2021]</v>
      </c>
      <c r="C70" s="29">
        <f>IF(OR(Client_Info!$D$14="",Client_Info!$D$15=""),"",IF(EOMONTH(Client_Info!$D$14,62)&lt;=Client_Info!$D$15,EOMONTH(Client_Info!$D$14,62),""))</f>
        <v>44286</v>
      </c>
      <c r="D70" s="142">
        <v>0.01</v>
      </c>
      <c r="E70" s="142">
        <v>0.28999999999999998</v>
      </c>
      <c r="F70" s="142">
        <v>0.56999999999999995</v>
      </c>
      <c r="G70" s="142">
        <v>-0.33</v>
      </c>
      <c r="H70" s="142">
        <v>1.78</v>
      </c>
      <c r="I70" s="142">
        <v>0.15</v>
      </c>
      <c r="J70" s="142">
        <v>1.35</v>
      </c>
      <c r="K70" s="142">
        <v>3.45</v>
      </c>
      <c r="L70" s="142">
        <v>-0.53</v>
      </c>
      <c r="M70" s="142">
        <v>3.52</v>
      </c>
      <c r="N70" s="142">
        <v>-0.63</v>
      </c>
      <c r="O70" s="142">
        <v>2.08</v>
      </c>
      <c r="P70" s="142">
        <v>-4.1100000000000003</v>
      </c>
      <c r="Q70" s="142">
        <v>-3.79</v>
      </c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120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</row>
    <row r="71" spans="1:200" ht="15" customHeight="1" x14ac:dyDescent="0.2">
      <c r="A71" s="2"/>
      <c r="B71" s="24" t="str">
        <f t="shared" si="1"/>
        <v>[ROW:APR_2021]</v>
      </c>
      <c r="C71" s="29">
        <f>IF(OR(Client_Info!$D$14="",Client_Info!$D$15=""),"",IF(EOMONTH(Client_Info!$D$14,63)&lt;=Client_Info!$D$15,EOMONTH(Client_Info!$D$14,63),""))</f>
        <v>44316</v>
      </c>
      <c r="D71" s="142">
        <v>0.01</v>
      </c>
      <c r="E71" s="142">
        <v>1.55</v>
      </c>
      <c r="F71" s="142">
        <v>2.02</v>
      </c>
      <c r="G71" s="142">
        <v>-1.33</v>
      </c>
      <c r="H71" s="142">
        <v>4.7699999999999996</v>
      </c>
      <c r="I71" s="142">
        <v>0.79</v>
      </c>
      <c r="J71" s="142">
        <v>-1.18</v>
      </c>
      <c r="K71" s="142">
        <v>-0.54</v>
      </c>
      <c r="L71" s="142">
        <v>0.41</v>
      </c>
      <c r="M71" s="142">
        <v>2.97</v>
      </c>
      <c r="N71" s="142">
        <v>5.72</v>
      </c>
      <c r="O71" s="142">
        <v>4.42</v>
      </c>
      <c r="P71" s="142">
        <v>-4.03</v>
      </c>
      <c r="Q71" s="142">
        <v>-4.18</v>
      </c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120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</row>
    <row r="72" spans="1:200" ht="15" customHeight="1" x14ac:dyDescent="0.2">
      <c r="A72" s="2"/>
      <c r="B72" s="24" t="str">
        <f t="shared" ref="B72:B103" si="2">IF(C72="","","[ROW:"&amp;UPPER(TEXT(C72,"MMM"))&amp;"_"&amp;TEXT(C72,"YYYY")&amp;"]")</f>
        <v>[ROW:MAY_2021]</v>
      </c>
      <c r="C72" s="29">
        <f>IF(OR(Client_Info!$D$14="",Client_Info!$D$15=""),"",IF(EOMONTH(Client_Info!$D$14,64)&lt;=Client_Info!$D$15,EOMONTH(Client_Info!$D$14,64),""))</f>
        <v>44347</v>
      </c>
      <c r="D72" s="142">
        <v>0.01</v>
      </c>
      <c r="E72" s="142">
        <v>-0.86</v>
      </c>
      <c r="F72" s="142">
        <v>0.76</v>
      </c>
      <c r="G72" s="142">
        <v>-1.42</v>
      </c>
      <c r="H72" s="142">
        <v>5.53</v>
      </c>
      <c r="I72" s="142">
        <v>0.1</v>
      </c>
      <c r="J72" s="142">
        <v>0.71</v>
      </c>
      <c r="K72" s="142">
        <v>1.4</v>
      </c>
      <c r="L72" s="142">
        <v>0.22</v>
      </c>
      <c r="M72" s="142">
        <v>0.42</v>
      </c>
      <c r="N72" s="142">
        <v>4.0199999999999996</v>
      </c>
      <c r="O72" s="142">
        <v>4.83</v>
      </c>
      <c r="P72" s="142">
        <v>4.45</v>
      </c>
      <c r="Q72" s="142">
        <v>4.5199999999999996</v>
      </c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120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</row>
    <row r="73" spans="1:200" ht="15" customHeight="1" x14ac:dyDescent="0.2">
      <c r="A73" s="2"/>
      <c r="B73" s="24" t="str">
        <f t="shared" si="2"/>
        <v>[ROW:JUN_2021]</v>
      </c>
      <c r="C73" s="29">
        <f>IF(OR(Client_Info!$D$14="",Client_Info!$D$15=""),"",IF(EOMONTH(Client_Info!$D$14,65)&lt;=Client_Info!$D$15,EOMONTH(Client_Info!$D$14,65),""))</f>
        <v>44377</v>
      </c>
      <c r="D73" s="142">
        <v>0.01</v>
      </c>
      <c r="E73" s="142">
        <v>0.48</v>
      </c>
      <c r="F73" s="142">
        <v>0.6</v>
      </c>
      <c r="G73" s="142">
        <v>0.2</v>
      </c>
      <c r="H73" s="142">
        <v>7.14</v>
      </c>
      <c r="I73" s="142">
        <v>0.54</v>
      </c>
      <c r="J73" s="142">
        <v>-2.0299999999999998</v>
      </c>
      <c r="K73" s="142">
        <v>0.77</v>
      </c>
      <c r="L73" s="142">
        <v>-0.11</v>
      </c>
      <c r="M73" s="142">
        <v>0.97</v>
      </c>
      <c r="N73" s="142">
        <v>7.78</v>
      </c>
      <c r="O73" s="142">
        <v>3.98</v>
      </c>
      <c r="P73" s="142">
        <v>7.09</v>
      </c>
      <c r="Q73" s="142">
        <v>6.87</v>
      </c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120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</row>
    <row r="74" spans="1:200" ht="15" customHeight="1" x14ac:dyDescent="0.2">
      <c r="A74" s="2"/>
      <c r="B74" s="24" t="str">
        <f t="shared" si="2"/>
        <v>[ROW:JUL_2021]</v>
      </c>
      <c r="C74" s="29">
        <f>IF(OR(Client_Info!$D$14="",Client_Info!$D$15=""),"",IF(EOMONTH(Client_Info!$D$14,66)&lt;=Client_Info!$D$15,EOMONTH(Client_Info!$D$14,66),""))</f>
        <v>44408</v>
      </c>
      <c r="D74" s="142">
        <v>0.01</v>
      </c>
      <c r="E74" s="142">
        <v>1.33</v>
      </c>
      <c r="F74" s="142">
        <v>-1.03</v>
      </c>
      <c r="G74" s="142">
        <v>2.33</v>
      </c>
      <c r="H74" s="142">
        <v>6.38</v>
      </c>
      <c r="I74" s="142">
        <v>-2.0299999999999998</v>
      </c>
      <c r="J74" s="142">
        <v>0.22</v>
      </c>
      <c r="K74" s="142">
        <v>2.21</v>
      </c>
      <c r="L74" s="142">
        <v>1.22</v>
      </c>
      <c r="M74" s="142">
        <v>5.66</v>
      </c>
      <c r="N74" s="142">
        <v>-4.3499999999999996</v>
      </c>
      <c r="O74" s="142">
        <v>2.2999999999999998</v>
      </c>
      <c r="P74" s="142">
        <v>0.83</v>
      </c>
      <c r="Q74" s="142">
        <v>0.69</v>
      </c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120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</row>
    <row r="75" spans="1:200" ht="15" customHeight="1" x14ac:dyDescent="0.2">
      <c r="A75" s="2"/>
      <c r="B75" s="24" t="str">
        <f t="shared" si="2"/>
        <v>[ROW:AUG_2021]</v>
      </c>
      <c r="C75" s="29">
        <f>IF(OR(Client_Info!$D$14="",Client_Info!$D$15=""),"",IF(EOMONTH(Client_Info!$D$14,67)&lt;=Client_Info!$D$15,EOMONTH(Client_Info!$D$14,67),""))</f>
        <v>44439</v>
      </c>
      <c r="D75" s="142">
        <v>0.01</v>
      </c>
      <c r="E75" s="142">
        <v>0.79</v>
      </c>
      <c r="F75" s="142">
        <v>1.4</v>
      </c>
      <c r="G75" s="142">
        <v>1.73</v>
      </c>
      <c r="H75" s="142">
        <v>3.97</v>
      </c>
      <c r="I75" s="142">
        <v>-2.83</v>
      </c>
      <c r="J75" s="142">
        <v>-1.1499999999999999</v>
      </c>
      <c r="K75" s="142">
        <v>2.59</v>
      </c>
      <c r="L75" s="142">
        <v>1.52</v>
      </c>
      <c r="M75" s="142">
        <v>-1.89</v>
      </c>
      <c r="N75" s="142">
        <v>4.2300000000000004</v>
      </c>
      <c r="O75" s="142">
        <v>1.59</v>
      </c>
      <c r="P75" s="142">
        <v>5.32</v>
      </c>
      <c r="Q75" s="142">
        <v>5.35</v>
      </c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120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</row>
    <row r="76" spans="1:200" ht="15" customHeight="1" x14ac:dyDescent="0.2">
      <c r="A76" s="2"/>
      <c r="B76" s="24" t="str">
        <f t="shared" si="2"/>
        <v>[ROW:SEP_2021]</v>
      </c>
      <c r="C76" s="29">
        <f>IF(OR(Client_Info!$D$14="",Client_Info!$D$15=""),"",IF(EOMONTH(Client_Info!$D$14,68)&lt;=Client_Info!$D$15,EOMONTH(Client_Info!$D$14,68),""))</f>
        <v>44469</v>
      </c>
      <c r="D76" s="142">
        <v>0.01</v>
      </c>
      <c r="E76" s="142">
        <v>0.43</v>
      </c>
      <c r="F76" s="142">
        <v>1.29</v>
      </c>
      <c r="G76" s="142">
        <v>-3.12</v>
      </c>
      <c r="H76" s="142">
        <v>-0.54</v>
      </c>
      <c r="I76" s="142">
        <v>4.18</v>
      </c>
      <c r="J76" s="142">
        <v>-0.86</v>
      </c>
      <c r="K76" s="142">
        <v>0.38</v>
      </c>
      <c r="L76" s="142">
        <v>0.52</v>
      </c>
      <c r="M76" s="142">
        <v>2.71</v>
      </c>
      <c r="N76" s="142">
        <v>6.17</v>
      </c>
      <c r="O76" s="142">
        <v>0.92</v>
      </c>
      <c r="P76" s="142">
        <v>2.31</v>
      </c>
      <c r="Q76" s="142">
        <v>2.57</v>
      </c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120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</row>
    <row r="77" spans="1:200" ht="15" customHeight="1" x14ac:dyDescent="0.2">
      <c r="A77" s="2"/>
      <c r="B77" s="24" t="str">
        <f t="shared" si="2"/>
        <v>[ROW:OCT_2021]</v>
      </c>
      <c r="C77" s="29">
        <f>IF(OR(Client_Info!$D$14="",Client_Info!$D$15=""),"",IF(EOMONTH(Client_Info!$D$14,69)&lt;=Client_Info!$D$15,EOMONTH(Client_Info!$D$14,69),""))</f>
        <v>44500</v>
      </c>
      <c r="D77" s="142">
        <v>0.01</v>
      </c>
      <c r="E77" s="142">
        <v>1.36</v>
      </c>
      <c r="F77" s="142">
        <v>3.04</v>
      </c>
      <c r="G77" s="142">
        <v>2.4</v>
      </c>
      <c r="H77" s="142">
        <v>-4.62</v>
      </c>
      <c r="I77" s="142">
        <v>-1.46</v>
      </c>
      <c r="J77" s="142">
        <v>2.56</v>
      </c>
      <c r="K77" s="142">
        <v>-0.75</v>
      </c>
      <c r="L77" s="142">
        <v>2.12</v>
      </c>
      <c r="M77" s="142">
        <v>-0.32</v>
      </c>
      <c r="N77" s="142">
        <v>-8.4700000000000006</v>
      </c>
      <c r="O77" s="142">
        <v>-0.42</v>
      </c>
      <c r="P77" s="142">
        <v>-2.25</v>
      </c>
      <c r="Q77" s="142">
        <v>-1.79</v>
      </c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120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</row>
    <row r="78" spans="1:200" ht="15" customHeight="1" x14ac:dyDescent="0.2">
      <c r="A78" s="2"/>
      <c r="B78" s="24" t="str">
        <f t="shared" si="2"/>
        <v>[ROW:NOV_2021]</v>
      </c>
      <c r="C78" s="29">
        <f>IF(OR(Client_Info!$D$14="",Client_Info!$D$15=""),"",IF(EOMONTH(Client_Info!$D$14,70)&lt;=Client_Info!$D$15,EOMONTH(Client_Info!$D$14,70),""))</f>
        <v>44530</v>
      </c>
      <c r="D78" s="142">
        <v>0.01</v>
      </c>
      <c r="E78" s="142">
        <v>-2.91</v>
      </c>
      <c r="F78" s="142">
        <v>0.19</v>
      </c>
      <c r="G78" s="142">
        <v>3.35</v>
      </c>
      <c r="H78" s="142">
        <v>1.04</v>
      </c>
      <c r="I78" s="142">
        <v>-1.79</v>
      </c>
      <c r="J78" s="142">
        <v>2.31</v>
      </c>
      <c r="K78" s="142">
        <v>1</v>
      </c>
      <c r="L78" s="142">
        <v>-0.9</v>
      </c>
      <c r="M78" s="142">
        <v>-0.38</v>
      </c>
      <c r="N78" s="142">
        <v>-5.48</v>
      </c>
      <c r="O78" s="142">
        <v>-1.1299999999999999</v>
      </c>
      <c r="P78" s="142">
        <v>2.4300000000000002</v>
      </c>
      <c r="Q78" s="142">
        <v>2.56</v>
      </c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120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</row>
    <row r="79" spans="1:200" ht="15" customHeight="1" x14ac:dyDescent="0.2">
      <c r="A79" s="2"/>
      <c r="B79" s="24" t="str">
        <f t="shared" si="2"/>
        <v>[ROW:DEC_2021]</v>
      </c>
      <c r="C79" s="29">
        <f>IF(OR(Client_Info!$D$14="",Client_Info!$D$15=""),"",IF(EOMONTH(Client_Info!$D$14,71)&lt;=Client_Info!$D$15,EOMONTH(Client_Info!$D$14,71),""))</f>
        <v>44561</v>
      </c>
      <c r="D79" s="142">
        <v>0.01</v>
      </c>
      <c r="E79" s="142">
        <v>0.99</v>
      </c>
      <c r="F79" s="142">
        <v>0.79</v>
      </c>
      <c r="G79" s="142">
        <v>-3.57</v>
      </c>
      <c r="H79" s="142">
        <v>2.93</v>
      </c>
      <c r="I79" s="142">
        <v>-4.47</v>
      </c>
      <c r="J79" s="142">
        <v>1.47</v>
      </c>
      <c r="K79" s="142">
        <v>-0.64</v>
      </c>
      <c r="L79" s="142">
        <v>0.19</v>
      </c>
      <c r="M79" s="142">
        <v>4.9400000000000004</v>
      </c>
      <c r="N79" s="142">
        <v>-9.93</v>
      </c>
      <c r="O79" s="142">
        <v>-2.2599999999999998</v>
      </c>
      <c r="P79" s="142">
        <v>7.92</v>
      </c>
      <c r="Q79" s="142">
        <v>7.66</v>
      </c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120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</row>
    <row r="80" spans="1:200" ht="15" customHeight="1" x14ac:dyDescent="0.2">
      <c r="A80" s="2"/>
      <c r="B80" s="24" t="str">
        <f t="shared" si="2"/>
        <v>[ROW:JAN_2022]</v>
      </c>
      <c r="C80" s="29">
        <f>IF(OR(Client_Info!$D$14="",Client_Info!$D$15=""),"",IF(EOMONTH(Client_Info!$D$14,72)&lt;=Client_Info!$D$15,EOMONTH(Client_Info!$D$14,72),""))</f>
        <v>44592</v>
      </c>
      <c r="D80" s="142">
        <v>0.01</v>
      </c>
      <c r="E80" s="142">
        <v>-2</v>
      </c>
      <c r="F80" s="142">
        <v>0.83</v>
      </c>
      <c r="G80" s="142">
        <v>-2.83</v>
      </c>
      <c r="H80" s="142">
        <v>0.93</v>
      </c>
      <c r="I80" s="142">
        <v>-0.98</v>
      </c>
      <c r="J80" s="142">
        <v>-1.48</v>
      </c>
      <c r="K80" s="142">
        <v>3.24</v>
      </c>
      <c r="L80" s="142">
        <v>-0.41</v>
      </c>
      <c r="M80" s="142">
        <v>-6</v>
      </c>
      <c r="N80" s="142">
        <v>-2</v>
      </c>
      <c r="O80" s="142">
        <v>-0.33</v>
      </c>
      <c r="P80" s="142">
        <v>-4.9400000000000004</v>
      </c>
      <c r="Q80" s="142">
        <v>-5</v>
      </c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120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</row>
    <row r="81" spans="1:200" ht="15" customHeight="1" x14ac:dyDescent="0.2">
      <c r="A81" s="2"/>
      <c r="B81" s="24" t="str">
        <f t="shared" si="2"/>
        <v>[ROW:FEB_2022]</v>
      </c>
      <c r="C81" s="29">
        <f>IF(OR(Client_Info!$D$14="",Client_Info!$D$15=""),"",IF(EOMONTH(Client_Info!$D$14,73)&lt;=Client_Info!$D$15,EOMONTH(Client_Info!$D$14,73),""))</f>
        <v>44620</v>
      </c>
      <c r="D81" s="142">
        <v>0.04</v>
      </c>
      <c r="E81" s="142">
        <v>-2.5</v>
      </c>
      <c r="F81" s="142">
        <v>2.36</v>
      </c>
      <c r="G81" s="142">
        <v>-2.0699999999999998</v>
      </c>
      <c r="H81" s="142">
        <v>-4.6399999999999997</v>
      </c>
      <c r="I81" s="142">
        <v>-2.56</v>
      </c>
      <c r="J81" s="142">
        <v>-0.13</v>
      </c>
      <c r="K81" s="142">
        <v>0.53</v>
      </c>
      <c r="L81" s="142">
        <v>-1.74</v>
      </c>
      <c r="M81" s="142">
        <v>-1</v>
      </c>
      <c r="N81" s="142">
        <v>-4</v>
      </c>
      <c r="O81" s="142">
        <v>-0.33</v>
      </c>
      <c r="P81" s="142">
        <v>-3.37</v>
      </c>
      <c r="Q81" s="142">
        <v>-3</v>
      </c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120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</row>
    <row r="82" spans="1:200" ht="15" customHeight="1" x14ac:dyDescent="0.2">
      <c r="A82" s="2"/>
      <c r="B82" s="24" t="str">
        <f t="shared" si="2"/>
        <v>[ROW:MAR_2022]</v>
      </c>
      <c r="C82" s="29">
        <f>IF(OR(Client_Info!$D$14="",Client_Info!$D$15=""),"",IF(EOMONTH(Client_Info!$D$14,74)&lt;=Client_Info!$D$15,EOMONTH(Client_Info!$D$14,74),""))</f>
        <v>44651</v>
      </c>
      <c r="D82" s="142">
        <v>7.0000000000000007E-2</v>
      </c>
      <c r="E82" s="142">
        <v>0.5</v>
      </c>
      <c r="F82" s="142">
        <v>0.43</v>
      </c>
      <c r="G82" s="142">
        <v>-4.21</v>
      </c>
      <c r="H82" s="142">
        <v>-3.15</v>
      </c>
      <c r="I82" s="142">
        <v>4.29</v>
      </c>
      <c r="J82" s="142">
        <v>2.52</v>
      </c>
      <c r="K82" s="142">
        <v>-0.19</v>
      </c>
      <c r="L82" s="142">
        <v>0.32</v>
      </c>
      <c r="M82" s="142">
        <v>1</v>
      </c>
      <c r="N82" s="142">
        <v>-2</v>
      </c>
      <c r="O82" s="142">
        <v>0.41</v>
      </c>
      <c r="P82" s="142">
        <v>3.55</v>
      </c>
      <c r="Q82" s="142">
        <v>3.5</v>
      </c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120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</row>
    <row r="83" spans="1:200" ht="15" customHeight="1" x14ac:dyDescent="0.2">
      <c r="A83" s="2"/>
      <c r="B83" s="24" t="str">
        <f t="shared" si="2"/>
        <v>[ROW:APR_2022]</v>
      </c>
      <c r="C83" s="29">
        <f>IF(OR(Client_Info!$D$14="",Client_Info!$D$15=""),"",IF(EOMONTH(Client_Info!$D$14,75)&lt;=Client_Info!$D$15,EOMONTH(Client_Info!$D$14,75),""))</f>
        <v>44681</v>
      </c>
      <c r="D83" s="142">
        <v>0.1</v>
      </c>
      <c r="E83" s="142">
        <v>-1.5</v>
      </c>
      <c r="F83" s="142">
        <v>0.86</v>
      </c>
      <c r="G83" s="142">
        <v>-4.13</v>
      </c>
      <c r="H83" s="142">
        <v>3.84</v>
      </c>
      <c r="I83" s="142">
        <v>2.83</v>
      </c>
      <c r="J83" s="142">
        <v>0.66</v>
      </c>
      <c r="K83" s="142">
        <v>0.6</v>
      </c>
      <c r="L83" s="142">
        <v>0.28000000000000003</v>
      </c>
      <c r="M83" s="142">
        <v>-7</v>
      </c>
      <c r="N83" s="142">
        <v>-6</v>
      </c>
      <c r="O83" s="142">
        <v>0.56000000000000005</v>
      </c>
      <c r="P83" s="142">
        <v>-7.88</v>
      </c>
      <c r="Q83" s="142">
        <v>-8</v>
      </c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120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</row>
    <row r="84" spans="1:200" ht="15" customHeight="1" x14ac:dyDescent="0.2">
      <c r="A84" s="2"/>
      <c r="B84" s="24" t="str">
        <f t="shared" si="2"/>
        <v>[ROW:MAY_2022]</v>
      </c>
      <c r="C84" s="29">
        <f>IF(OR(Client_Info!$D$14="",Client_Info!$D$15=""),"",IF(EOMONTH(Client_Info!$D$14,76)&lt;=Client_Info!$D$15,EOMONTH(Client_Info!$D$14,76),""))</f>
        <v>44712</v>
      </c>
      <c r="D84" s="142">
        <v>0.13</v>
      </c>
      <c r="E84" s="142">
        <v>-1.5</v>
      </c>
      <c r="F84" s="142">
        <v>1.24</v>
      </c>
      <c r="G84" s="142">
        <v>-0.81</v>
      </c>
      <c r="H84" s="142">
        <v>3.3</v>
      </c>
      <c r="I84" s="142">
        <v>-1.0900000000000001</v>
      </c>
      <c r="J84" s="142">
        <v>4.43</v>
      </c>
      <c r="K84" s="142">
        <v>-1.61</v>
      </c>
      <c r="L84" s="142">
        <v>2.16</v>
      </c>
      <c r="M84" s="142">
        <v>-0.5</v>
      </c>
      <c r="N84" s="142">
        <v>0.5</v>
      </c>
      <c r="O84" s="142">
        <v>-1.1499999999999999</v>
      </c>
      <c r="P84" s="142">
        <v>0.23</v>
      </c>
      <c r="Q84" s="142">
        <v>0.5</v>
      </c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120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</row>
    <row r="85" spans="1:200" ht="15" customHeight="1" x14ac:dyDescent="0.2">
      <c r="A85" s="2"/>
      <c r="B85" s="24" t="str">
        <f t="shared" si="2"/>
        <v>[ROW:JUN_2022]</v>
      </c>
      <c r="C85" s="29">
        <f>IF(OR(Client_Info!$D$14="",Client_Info!$D$15=""),"",IF(EOMONTH(Client_Info!$D$14,77)&lt;=Client_Info!$D$15,EOMONTH(Client_Info!$D$14,77),""))</f>
        <v>44742</v>
      </c>
      <c r="D85" s="142">
        <v>0.16</v>
      </c>
      <c r="E85" s="142">
        <v>-2</v>
      </c>
      <c r="F85" s="142">
        <v>0.76</v>
      </c>
      <c r="G85" s="142">
        <v>5.73</v>
      </c>
      <c r="H85" s="142">
        <v>3.83</v>
      </c>
      <c r="I85" s="142">
        <v>5.7</v>
      </c>
      <c r="J85" s="142">
        <v>1.1000000000000001</v>
      </c>
      <c r="K85" s="142">
        <v>-1.07</v>
      </c>
      <c r="L85" s="142">
        <v>1.1499999999999999</v>
      </c>
      <c r="M85" s="142">
        <v>-5</v>
      </c>
      <c r="N85" s="142">
        <v>-7</v>
      </c>
      <c r="O85" s="142">
        <v>-0.98</v>
      </c>
      <c r="P85" s="142">
        <v>-3.95</v>
      </c>
      <c r="Q85" s="142">
        <v>-4</v>
      </c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120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</row>
    <row r="86" spans="1:200" ht="15" customHeight="1" x14ac:dyDescent="0.2">
      <c r="A86" s="2"/>
      <c r="B86" s="24" t="str">
        <f t="shared" si="2"/>
        <v>[ROW:JUL_2022]</v>
      </c>
      <c r="C86" s="29">
        <f>IF(OR(Client_Info!$D$14="",Client_Info!$D$15=""),"",IF(EOMONTH(Client_Info!$D$14,78)&lt;=Client_Info!$D$15,EOMONTH(Client_Info!$D$14,78),""))</f>
        <v>44773</v>
      </c>
      <c r="D86" s="142">
        <v>0.19</v>
      </c>
      <c r="E86" s="142">
        <v>-4</v>
      </c>
      <c r="F86" s="142">
        <v>0.03</v>
      </c>
      <c r="G86" s="142">
        <v>7.34</v>
      </c>
      <c r="H86" s="142">
        <v>2.2599999999999998</v>
      </c>
      <c r="I86" s="142">
        <v>2.77</v>
      </c>
      <c r="J86" s="142">
        <v>0.75</v>
      </c>
      <c r="K86" s="142">
        <v>2.0699999999999998</v>
      </c>
      <c r="L86" s="142">
        <v>-0.77</v>
      </c>
      <c r="M86" s="142">
        <v>-9</v>
      </c>
      <c r="N86" s="142">
        <v>-12</v>
      </c>
      <c r="O86" s="142">
        <v>-0.57999999999999996</v>
      </c>
      <c r="P86" s="142">
        <v>-8.98</v>
      </c>
      <c r="Q86" s="142">
        <v>-9</v>
      </c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120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</row>
    <row r="87" spans="1:200" ht="15" customHeight="1" x14ac:dyDescent="0.2">
      <c r="A87" s="2"/>
      <c r="B87" s="24" t="str">
        <f t="shared" si="2"/>
        <v>[ROW:AUG_2022]</v>
      </c>
      <c r="C87" s="29">
        <f>IF(OR(Client_Info!$D$14="",Client_Info!$D$15=""),"",IF(EOMONTH(Client_Info!$D$14,79)&lt;=Client_Info!$D$15,EOMONTH(Client_Info!$D$14,79),""))</f>
        <v>44804</v>
      </c>
      <c r="D87" s="142">
        <v>0.22</v>
      </c>
      <c r="E87" s="142">
        <v>-2.5</v>
      </c>
      <c r="F87" s="142">
        <v>0.77</v>
      </c>
      <c r="G87" s="142">
        <v>6.62</v>
      </c>
      <c r="H87" s="142">
        <v>2.59</v>
      </c>
      <c r="I87" s="142">
        <v>-0.25</v>
      </c>
      <c r="J87" s="142">
        <v>-0.12</v>
      </c>
      <c r="K87" s="142">
        <v>-0.61</v>
      </c>
      <c r="L87" s="142">
        <v>2.56</v>
      </c>
      <c r="M87" s="142">
        <v>-3</v>
      </c>
      <c r="N87" s="142">
        <v>-3</v>
      </c>
      <c r="O87" s="142">
        <v>0.71</v>
      </c>
      <c r="P87" s="142">
        <v>-4.84</v>
      </c>
      <c r="Q87" s="142">
        <v>-4.5</v>
      </c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120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</row>
    <row r="88" spans="1:200" ht="15" customHeight="1" x14ac:dyDescent="0.2">
      <c r="A88" s="2"/>
      <c r="B88" s="24" t="str">
        <f t="shared" si="2"/>
        <v>[ROW:SEP_2022]</v>
      </c>
      <c r="C88" s="29">
        <f>IF(OR(Client_Info!$D$14="",Client_Info!$D$15=""),"",IF(EOMONTH(Client_Info!$D$14,80)&lt;=Client_Info!$D$15,EOMONTH(Client_Info!$D$14,80),""))</f>
        <v>44834</v>
      </c>
      <c r="D88" s="142">
        <v>0.24</v>
      </c>
      <c r="E88" s="142">
        <v>3</v>
      </c>
      <c r="F88" s="142">
        <v>1.78</v>
      </c>
      <c r="G88" s="142">
        <v>3.26</v>
      </c>
      <c r="H88" s="142">
        <v>4.21</v>
      </c>
      <c r="I88" s="142">
        <v>-5.27</v>
      </c>
      <c r="J88" s="142">
        <v>0.65</v>
      </c>
      <c r="K88" s="142">
        <v>-1.18</v>
      </c>
      <c r="L88" s="142">
        <v>1.83</v>
      </c>
      <c r="M88" s="142">
        <v>6</v>
      </c>
      <c r="N88" s="142">
        <v>4</v>
      </c>
      <c r="O88" s="142">
        <v>3.56</v>
      </c>
      <c r="P88" s="142">
        <v>8.11</v>
      </c>
      <c r="Q88" s="142">
        <v>8</v>
      </c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120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</row>
    <row r="89" spans="1:200" ht="15" customHeight="1" x14ac:dyDescent="0.2">
      <c r="A89" s="2"/>
      <c r="B89" s="24" t="str">
        <f t="shared" si="2"/>
        <v>[ROW:OCT_2022]</v>
      </c>
      <c r="C89" s="29">
        <f>IF(OR(Client_Info!$D$14="",Client_Info!$D$15=""),"",IF(EOMONTH(Client_Info!$D$14,81)&lt;=Client_Info!$D$15,EOMONTH(Client_Info!$D$14,81),""))</f>
        <v>44865</v>
      </c>
      <c r="D89" s="142">
        <v>0.27</v>
      </c>
      <c r="E89" s="142">
        <v>1.07</v>
      </c>
      <c r="F89" s="142">
        <v>-0.64</v>
      </c>
      <c r="G89" s="142">
        <v>-1.81</v>
      </c>
      <c r="H89" s="142">
        <v>0.6</v>
      </c>
      <c r="I89" s="142">
        <v>5.79</v>
      </c>
      <c r="J89" s="142">
        <v>0.15</v>
      </c>
      <c r="K89" s="142">
        <v>1.1100000000000001</v>
      </c>
      <c r="L89" s="142">
        <v>1.0900000000000001</v>
      </c>
      <c r="M89" s="142">
        <v>2.91</v>
      </c>
      <c r="N89" s="142">
        <v>0.5</v>
      </c>
      <c r="O89" s="142">
        <v>2.67</v>
      </c>
      <c r="P89" s="142">
        <v>2.71</v>
      </c>
      <c r="Q89" s="142">
        <v>2.5499999999999998</v>
      </c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120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</row>
    <row r="90" spans="1:200" ht="15" customHeight="1" x14ac:dyDescent="0.2">
      <c r="A90" s="2"/>
      <c r="B90" s="24" t="str">
        <f t="shared" si="2"/>
        <v>[ROW:NOV_2022]</v>
      </c>
      <c r="C90" s="29">
        <f>IF(OR(Client_Info!$D$14="",Client_Info!$D$15=""),"",IF(EOMONTH(Client_Info!$D$14,82)&lt;=Client_Info!$D$15,EOMONTH(Client_Info!$D$14,82),""))</f>
        <v>44895</v>
      </c>
      <c r="D90" s="142">
        <v>0.3</v>
      </c>
      <c r="E90" s="142">
        <v>0.3</v>
      </c>
      <c r="F90" s="142">
        <v>0.7</v>
      </c>
      <c r="G90" s="142">
        <v>-1.1499999999999999</v>
      </c>
      <c r="H90" s="142">
        <v>0.37</v>
      </c>
      <c r="I90" s="142">
        <v>-2.71</v>
      </c>
      <c r="J90" s="142">
        <v>1.64</v>
      </c>
      <c r="K90" s="142">
        <v>2.04</v>
      </c>
      <c r="L90" s="142">
        <v>0.16</v>
      </c>
      <c r="M90" s="142">
        <v>-2.81</v>
      </c>
      <c r="N90" s="142">
        <v>-10.08</v>
      </c>
      <c r="O90" s="142">
        <v>2.98</v>
      </c>
      <c r="P90" s="142">
        <v>7.72</v>
      </c>
      <c r="Q90" s="142">
        <v>7.4</v>
      </c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120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</row>
    <row r="91" spans="1:200" ht="15" customHeight="1" x14ac:dyDescent="0.2">
      <c r="A91" s="2"/>
      <c r="B91" s="24" t="str">
        <f t="shared" si="2"/>
        <v>[ROW:DEC_2022]</v>
      </c>
      <c r="C91" s="29">
        <f>IF(OR(Client_Info!$D$14="",Client_Info!$D$15=""),"",IF(EOMONTH(Client_Info!$D$14,83)&lt;=Client_Info!$D$15,EOMONTH(Client_Info!$D$14,83),""))</f>
        <v>44926</v>
      </c>
      <c r="D91" s="142">
        <v>0.33</v>
      </c>
      <c r="E91" s="142">
        <v>-1.64</v>
      </c>
      <c r="F91" s="142">
        <v>-0.27</v>
      </c>
      <c r="G91" s="142">
        <v>0.32</v>
      </c>
      <c r="H91" s="142">
        <v>-0.94</v>
      </c>
      <c r="I91" s="142">
        <v>-3.3</v>
      </c>
      <c r="J91" s="142">
        <v>2.0699999999999998</v>
      </c>
      <c r="K91" s="142">
        <v>1.37</v>
      </c>
      <c r="L91" s="142">
        <v>-0.69</v>
      </c>
      <c r="M91" s="142">
        <v>8.9600000000000009</v>
      </c>
      <c r="N91" s="142">
        <v>0.2</v>
      </c>
      <c r="O91" s="142">
        <v>0.92</v>
      </c>
      <c r="P91" s="142">
        <v>-0.93</v>
      </c>
      <c r="Q91" s="142">
        <v>-1.24</v>
      </c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120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</row>
    <row r="92" spans="1:200" ht="15" customHeight="1" x14ac:dyDescent="0.2">
      <c r="A92" s="2"/>
      <c r="B92" s="24" t="str">
        <f t="shared" si="2"/>
        <v>[ROW:JAN_2023]</v>
      </c>
      <c r="C92" s="29">
        <f>IF(OR(Client_Info!$D$14="",Client_Info!$D$15=""),"",IF(EOMONTH(Client_Info!$D$14,84)&lt;=Client_Info!$D$15,EOMONTH(Client_Info!$D$14,84),""))</f>
        <v>44957</v>
      </c>
      <c r="D92" s="142">
        <v>0.33</v>
      </c>
      <c r="E92" s="142">
        <v>-0.08</v>
      </c>
      <c r="F92" s="142">
        <v>1.92</v>
      </c>
      <c r="G92" s="142">
        <v>-0.85</v>
      </c>
      <c r="H92" s="142">
        <v>-1.39</v>
      </c>
      <c r="I92" s="142">
        <v>2.86</v>
      </c>
      <c r="J92" s="142">
        <v>-0.94</v>
      </c>
      <c r="K92" s="142">
        <v>1.77</v>
      </c>
      <c r="L92" s="142">
        <v>-0.01</v>
      </c>
      <c r="M92" s="142">
        <v>-3.57</v>
      </c>
      <c r="N92" s="142">
        <v>-6.11</v>
      </c>
      <c r="O92" s="142">
        <v>1.76</v>
      </c>
      <c r="P92" s="142">
        <v>-2.91</v>
      </c>
      <c r="Q92" s="142">
        <v>-2.5</v>
      </c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120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</row>
    <row r="93" spans="1:200" ht="15" customHeight="1" x14ac:dyDescent="0.2">
      <c r="A93" s="2"/>
      <c r="B93" s="24" t="str">
        <f t="shared" si="2"/>
        <v>[ROW:FEB_2023]</v>
      </c>
      <c r="C93" s="29">
        <f>IF(OR(Client_Info!$D$14="",Client_Info!$D$15=""),"",IF(EOMONTH(Client_Info!$D$14,85)&lt;=Client_Info!$D$15,EOMONTH(Client_Info!$D$14,85),""))</f>
        <v>44985</v>
      </c>
      <c r="D93" s="142">
        <v>0.34</v>
      </c>
      <c r="E93" s="142">
        <v>-0.77</v>
      </c>
      <c r="F93" s="142">
        <v>-1.22</v>
      </c>
      <c r="G93" s="142">
        <v>1.29</v>
      </c>
      <c r="H93" s="142">
        <v>-0.2</v>
      </c>
      <c r="I93" s="142">
        <v>6.13</v>
      </c>
      <c r="J93" s="142">
        <v>-1.89</v>
      </c>
      <c r="K93" s="142">
        <v>-0.76</v>
      </c>
      <c r="L93" s="142">
        <v>1.67</v>
      </c>
      <c r="M93" s="142">
        <v>-4.41</v>
      </c>
      <c r="N93" s="142">
        <v>4.1500000000000004</v>
      </c>
      <c r="O93" s="142">
        <v>2.2000000000000002</v>
      </c>
      <c r="P93" s="142">
        <v>-1.45</v>
      </c>
      <c r="Q93" s="142">
        <v>-1.17</v>
      </c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120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</row>
    <row r="94" spans="1:200" ht="15" customHeight="1" x14ac:dyDescent="0.2">
      <c r="A94" s="2"/>
      <c r="B94" s="24" t="str">
        <f t="shared" si="2"/>
        <v>[ROW:MAR_2023]</v>
      </c>
      <c r="C94" s="29">
        <f>IF(OR(Client_Info!$D$14="",Client_Info!$D$15=""),"",IF(EOMONTH(Client_Info!$D$14,86)&lt;=Client_Info!$D$15,EOMONTH(Client_Info!$D$14,86),""))</f>
        <v>45016</v>
      </c>
      <c r="D94" s="142">
        <v>0.35</v>
      </c>
      <c r="E94" s="142">
        <v>2.72</v>
      </c>
      <c r="F94" s="142">
        <v>-0.1</v>
      </c>
      <c r="G94" s="142">
        <v>0.83</v>
      </c>
      <c r="H94" s="142">
        <v>1.1000000000000001</v>
      </c>
      <c r="I94" s="142">
        <v>3.7</v>
      </c>
      <c r="J94" s="142">
        <v>-2.76</v>
      </c>
      <c r="K94" s="142">
        <v>-1.72</v>
      </c>
      <c r="L94" s="142">
        <v>2.59</v>
      </c>
      <c r="M94" s="142">
        <v>5.18</v>
      </c>
      <c r="N94" s="142">
        <v>2.57</v>
      </c>
      <c r="O94" s="142">
        <v>0.97</v>
      </c>
      <c r="P94" s="142">
        <v>5.12</v>
      </c>
      <c r="Q94" s="142">
        <v>4.96</v>
      </c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120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</row>
    <row r="95" spans="1:200" ht="15" customHeight="1" x14ac:dyDescent="0.2">
      <c r="A95" s="2"/>
      <c r="B95" s="24" t="str">
        <f t="shared" si="2"/>
        <v>[ROW:APR_2023]</v>
      </c>
      <c r="C95" s="29">
        <f>IF(OR(Client_Info!$D$14="",Client_Info!$D$15=""),"",IF(EOMONTH(Client_Info!$D$14,87)&lt;=Client_Info!$D$15,EOMONTH(Client_Info!$D$14,87),""))</f>
        <v>45046</v>
      </c>
      <c r="D95" s="142">
        <v>0.36</v>
      </c>
      <c r="E95" s="142">
        <v>0.01</v>
      </c>
      <c r="F95" s="142">
        <v>0.98</v>
      </c>
      <c r="G95" s="142">
        <v>0.62</v>
      </c>
      <c r="H95" s="142">
        <v>1.3</v>
      </c>
      <c r="I95" s="142">
        <v>1.8</v>
      </c>
      <c r="J95" s="142">
        <v>1.3</v>
      </c>
      <c r="K95" s="142">
        <v>2.5</v>
      </c>
      <c r="L95" s="142">
        <v>2.2000000000000002</v>
      </c>
      <c r="M95" s="142">
        <v>3.7</v>
      </c>
      <c r="N95" s="142">
        <v>-4.22</v>
      </c>
      <c r="O95" s="142">
        <v>0.56999999999999995</v>
      </c>
      <c r="P95" s="142">
        <v>2.58</v>
      </c>
      <c r="Q95" s="142">
        <v>2.42</v>
      </c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120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</row>
    <row r="96" spans="1:200" ht="15" customHeight="1" x14ac:dyDescent="0.2">
      <c r="A96" s="2"/>
      <c r="B96" s="24" t="str">
        <f t="shared" si="2"/>
        <v>[ROW:MAY_2023]</v>
      </c>
      <c r="C96" s="29">
        <f>IF(OR(Client_Info!$D$14="",Client_Info!$D$15=""),"",IF(EOMONTH(Client_Info!$D$14,88)&lt;=Client_Info!$D$15,EOMONTH(Client_Info!$D$14,88),""))</f>
        <v>45077</v>
      </c>
      <c r="D96" s="142">
        <v>0.37</v>
      </c>
      <c r="E96" s="142">
        <v>0.35</v>
      </c>
      <c r="F96" s="142">
        <v>2.35</v>
      </c>
      <c r="G96" s="142">
        <v>3.14</v>
      </c>
      <c r="H96" s="142">
        <v>4.29</v>
      </c>
      <c r="I96" s="142">
        <v>1.87</v>
      </c>
      <c r="J96" s="142">
        <v>-1.49</v>
      </c>
      <c r="K96" s="142">
        <v>-0.13</v>
      </c>
      <c r="L96" s="142">
        <v>-0.15</v>
      </c>
      <c r="M96" s="142">
        <v>3.02</v>
      </c>
      <c r="N96" s="142">
        <v>-2</v>
      </c>
      <c r="O96" s="142">
        <v>3.03</v>
      </c>
      <c r="P96" s="142">
        <v>-1.1399999999999999</v>
      </c>
      <c r="Q96" s="142">
        <v>-1.29</v>
      </c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120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</row>
    <row r="97" spans="1:200" ht="15" customHeight="1" x14ac:dyDescent="0.2">
      <c r="A97" s="2"/>
      <c r="B97" s="24" t="str">
        <f t="shared" si="2"/>
        <v>[ROW:JUN_2023]</v>
      </c>
      <c r="C97" s="29">
        <f>IF(OR(Client_Info!$D$14="",Client_Info!$D$15=""),"",IF(EOMONTH(Client_Info!$D$14,89)&lt;=Client_Info!$D$15,EOMONTH(Client_Info!$D$14,89),""))</f>
        <v>45107</v>
      </c>
      <c r="D97" s="142">
        <v>0.38</v>
      </c>
      <c r="E97" s="142">
        <v>0.85</v>
      </c>
      <c r="F97" s="142">
        <v>0.47</v>
      </c>
      <c r="G97" s="142">
        <v>2.74</v>
      </c>
      <c r="H97" s="142">
        <v>-0.8</v>
      </c>
      <c r="I97" s="142">
        <v>2.4700000000000002</v>
      </c>
      <c r="J97" s="142">
        <v>-3.31</v>
      </c>
      <c r="K97" s="142">
        <v>-0.03</v>
      </c>
      <c r="L97" s="142">
        <v>-0.88</v>
      </c>
      <c r="M97" s="142">
        <v>3.04</v>
      </c>
      <c r="N97" s="142">
        <v>-4.84</v>
      </c>
      <c r="O97" s="142">
        <v>2.08</v>
      </c>
      <c r="P97" s="142">
        <v>4.38</v>
      </c>
      <c r="Q97" s="142">
        <v>3.22</v>
      </c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120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</row>
    <row r="98" spans="1:200" ht="15" customHeight="1" x14ac:dyDescent="0.2">
      <c r="A98" s="2"/>
      <c r="B98" s="24" t="str">
        <f t="shared" si="2"/>
        <v>[ROW:JUL_2023]</v>
      </c>
      <c r="C98" s="29">
        <f>IF(OR(Client_Info!$D$14="",Client_Info!$D$15=""),"",IF(EOMONTH(Client_Info!$D$14,90)&lt;=Client_Info!$D$15,EOMONTH(Client_Info!$D$14,90),""))</f>
        <v>45138</v>
      </c>
      <c r="D98" s="142">
        <v>0.39</v>
      </c>
      <c r="E98" s="142">
        <v>0.26</v>
      </c>
      <c r="F98" s="142">
        <v>-0.1</v>
      </c>
      <c r="G98" s="142">
        <v>2.0299999999999998</v>
      </c>
      <c r="H98" s="142">
        <v>-1.1599999999999999</v>
      </c>
      <c r="I98" s="142">
        <v>2.25</v>
      </c>
      <c r="J98" s="142">
        <v>1.0900000000000001</v>
      </c>
      <c r="K98" s="142">
        <v>2.25</v>
      </c>
      <c r="L98" s="142">
        <v>0.57999999999999996</v>
      </c>
      <c r="M98" s="142">
        <v>0.45</v>
      </c>
      <c r="N98" s="142">
        <v>0.34</v>
      </c>
      <c r="O98" s="142">
        <v>2.0499999999999998</v>
      </c>
      <c r="P98" s="142">
        <v>1.59</v>
      </c>
      <c r="Q98" s="142">
        <v>1.42</v>
      </c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120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</row>
    <row r="99" spans="1:200" ht="15" customHeight="1" x14ac:dyDescent="0.2">
      <c r="A99" s="2"/>
      <c r="B99" s="24" t="str">
        <f t="shared" si="2"/>
        <v>[ROW:AUG_2023]</v>
      </c>
      <c r="C99" s="29">
        <f>IF(OR(Client_Info!$D$14="",Client_Info!$D$15=""),"",IF(EOMONTH(Client_Info!$D$14,91)&lt;=Client_Info!$D$15,EOMONTH(Client_Info!$D$14,91),""))</f>
        <v>45169</v>
      </c>
      <c r="D99" s="142">
        <v>0.4</v>
      </c>
      <c r="E99" s="142">
        <v>2.17</v>
      </c>
      <c r="F99" s="142">
        <v>2.71</v>
      </c>
      <c r="G99" s="142">
        <v>2.5499999999999998</v>
      </c>
      <c r="H99" s="142">
        <v>1.17</v>
      </c>
      <c r="I99" s="142">
        <v>1.1499999999999999</v>
      </c>
      <c r="J99" s="142">
        <v>4.7300000000000004</v>
      </c>
      <c r="K99" s="142">
        <v>1.1399999999999999</v>
      </c>
      <c r="L99" s="142">
        <v>-1.63</v>
      </c>
      <c r="M99" s="142">
        <v>-3.13</v>
      </c>
      <c r="N99" s="142">
        <v>5.63</v>
      </c>
      <c r="O99" s="142">
        <v>2.08</v>
      </c>
      <c r="P99" s="142">
        <v>5.54</v>
      </c>
      <c r="Q99" s="142">
        <v>5.19</v>
      </c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120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</row>
    <row r="100" spans="1:200" ht="15" customHeight="1" x14ac:dyDescent="0.2">
      <c r="A100" s="2"/>
      <c r="B100" s="24" t="str">
        <f t="shared" si="2"/>
        <v>[ROW:SEP_2023]</v>
      </c>
      <c r="C100" s="29">
        <f>IF(OR(Client_Info!$D$14="",Client_Info!$D$15=""),"",IF(EOMONTH(Client_Info!$D$14,92)&lt;=Client_Info!$D$15,EOMONTH(Client_Info!$D$14,92),""))</f>
        <v>45199</v>
      </c>
      <c r="D100" s="142">
        <v>0.41</v>
      </c>
      <c r="E100" s="142">
        <v>-0.51</v>
      </c>
      <c r="F100" s="142">
        <v>-1.1299999999999999</v>
      </c>
      <c r="G100" s="142">
        <v>0.24</v>
      </c>
      <c r="H100" s="142">
        <v>6.45</v>
      </c>
      <c r="I100" s="142">
        <v>0.74</v>
      </c>
      <c r="J100" s="142">
        <v>0.41</v>
      </c>
      <c r="K100" s="142">
        <v>0.99</v>
      </c>
      <c r="L100" s="142">
        <v>0.79</v>
      </c>
      <c r="M100" s="142">
        <v>0.81</v>
      </c>
      <c r="N100" s="142">
        <v>-4.46</v>
      </c>
      <c r="O100" s="142">
        <v>1.37</v>
      </c>
      <c r="P100" s="142">
        <v>-1.75</v>
      </c>
      <c r="Q100" s="142">
        <v>-2.04</v>
      </c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120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</row>
    <row r="101" spans="1:200" ht="15" customHeight="1" x14ac:dyDescent="0.2">
      <c r="A101" s="2"/>
      <c r="B101" s="24" t="str">
        <f t="shared" si="2"/>
        <v>[ROW:OCT_2023]</v>
      </c>
      <c r="C101" s="29">
        <f>IF(OR(Client_Info!$D$14="",Client_Info!$D$15=""),"",IF(EOMONTH(Client_Info!$D$14,93)&lt;=Client_Info!$D$15,EOMONTH(Client_Info!$D$14,93),""))</f>
        <v>45230</v>
      </c>
      <c r="D101" s="142">
        <v>0.42</v>
      </c>
      <c r="E101" s="142">
        <v>0.43</v>
      </c>
      <c r="F101" s="142">
        <v>-2</v>
      </c>
      <c r="G101" s="142">
        <v>2.2000000000000002</v>
      </c>
      <c r="H101" s="142">
        <v>5.15</v>
      </c>
      <c r="I101" s="142">
        <v>0.36</v>
      </c>
      <c r="J101" s="142">
        <v>1.87</v>
      </c>
      <c r="K101" s="142">
        <v>3.46</v>
      </c>
      <c r="L101" s="142">
        <v>0.25</v>
      </c>
      <c r="M101" s="142">
        <v>-2.2400000000000002</v>
      </c>
      <c r="N101" s="142">
        <v>3.29</v>
      </c>
      <c r="O101" s="142">
        <v>1.26</v>
      </c>
      <c r="P101" s="142">
        <v>-0.22</v>
      </c>
      <c r="Q101" s="142">
        <v>-0.42</v>
      </c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120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</row>
    <row r="102" spans="1:200" ht="15" customHeight="1" x14ac:dyDescent="0.2">
      <c r="A102" s="2"/>
      <c r="B102" s="24" t="str">
        <f t="shared" si="2"/>
        <v>[ROW:NOV_2023]</v>
      </c>
      <c r="C102" s="29">
        <f>IF(OR(Client_Info!$D$14="",Client_Info!$D$15=""),"",IF(EOMONTH(Client_Info!$D$14,94)&lt;=Client_Info!$D$15,EOMONTH(Client_Info!$D$14,94),""))</f>
        <v>45260</v>
      </c>
      <c r="D102" s="142">
        <v>0.43</v>
      </c>
      <c r="E102" s="142">
        <v>-0.65</v>
      </c>
      <c r="F102" s="142">
        <v>1.05</v>
      </c>
      <c r="G102" s="142">
        <v>3.1</v>
      </c>
      <c r="H102" s="142">
        <v>3.54</v>
      </c>
      <c r="I102" s="142">
        <v>-1.24</v>
      </c>
      <c r="J102" s="142">
        <v>0.56000000000000005</v>
      </c>
      <c r="K102" s="142">
        <v>-0.6</v>
      </c>
      <c r="L102" s="142">
        <v>-0.12</v>
      </c>
      <c r="M102" s="142">
        <v>4.4400000000000004</v>
      </c>
      <c r="N102" s="142">
        <v>-2.09</v>
      </c>
      <c r="O102" s="142">
        <v>-0.04</v>
      </c>
      <c r="P102" s="142">
        <v>-0.79</v>
      </c>
      <c r="Q102" s="142">
        <v>-0.7</v>
      </c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120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</row>
    <row r="103" spans="1:200" ht="15" customHeight="1" x14ac:dyDescent="0.2">
      <c r="A103" s="2"/>
      <c r="B103" s="24" t="str">
        <f t="shared" si="2"/>
        <v>[ROW:DEC_2023]</v>
      </c>
      <c r="C103" s="29">
        <f>IF(OR(Client_Info!$D$14="",Client_Info!$D$15=""),"",IF(EOMONTH(Client_Info!$D$14,95)&lt;=Client_Info!$D$15,EOMONTH(Client_Info!$D$14,95),""))</f>
        <v>45291</v>
      </c>
      <c r="D103" s="142">
        <v>0.44</v>
      </c>
      <c r="E103" s="142">
        <v>-1.32</v>
      </c>
      <c r="F103" s="142">
        <v>-0.04</v>
      </c>
      <c r="G103" s="142">
        <v>1.34</v>
      </c>
      <c r="H103" s="142">
        <v>-2.76</v>
      </c>
      <c r="I103" s="142">
        <v>-0.15</v>
      </c>
      <c r="J103" s="142">
        <v>0.25</v>
      </c>
      <c r="K103" s="142">
        <v>1.67</v>
      </c>
      <c r="L103" s="142">
        <v>-1.42</v>
      </c>
      <c r="M103" s="142">
        <v>-0.09</v>
      </c>
      <c r="N103" s="142">
        <v>-3.45</v>
      </c>
      <c r="O103" s="142">
        <v>-0.48</v>
      </c>
      <c r="P103" s="142">
        <v>-5.1100000000000003</v>
      </c>
      <c r="Q103" s="142">
        <v>-5.34</v>
      </c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120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</row>
    <row r="104" spans="1:200" ht="15" customHeight="1" x14ac:dyDescent="0.2">
      <c r="A104" s="2"/>
      <c r="B104" s="24" t="str">
        <f t="shared" ref="B104:B135" si="3">IF(C104="","","[ROW:"&amp;UPPER(TEXT(C104,"MMM"))&amp;"_"&amp;TEXT(C104,"YYYY")&amp;"]")</f>
        <v>[ROW:JAN_2024]</v>
      </c>
      <c r="C104" s="29">
        <f>IF(OR(Client_Info!$D$14="",Client_Info!$D$15=""),"",IF(EOMONTH(Client_Info!$D$14,96)&lt;=Client_Info!$D$15,EOMONTH(Client_Info!$D$14,96),""))</f>
        <v>45322</v>
      </c>
      <c r="D104" s="142">
        <v>0.44</v>
      </c>
      <c r="E104" s="142">
        <v>-0.5</v>
      </c>
      <c r="F104" s="142">
        <v>-0.64</v>
      </c>
      <c r="G104" s="142">
        <v>0.09</v>
      </c>
      <c r="H104" s="142">
        <v>1.51</v>
      </c>
      <c r="I104" s="142">
        <v>-3.41</v>
      </c>
      <c r="J104" s="142">
        <v>2.0099999999999998</v>
      </c>
      <c r="K104" s="142">
        <v>0.42</v>
      </c>
      <c r="L104" s="142">
        <v>1.01</v>
      </c>
      <c r="M104" s="142">
        <v>-2.84</v>
      </c>
      <c r="N104" s="142">
        <v>0.11</v>
      </c>
      <c r="O104" s="142">
        <v>0.6</v>
      </c>
      <c r="P104" s="142">
        <v>2.0499999999999998</v>
      </c>
      <c r="Q104" s="142">
        <v>2.2799999999999998</v>
      </c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120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</row>
    <row r="105" spans="1:200" ht="15" customHeight="1" x14ac:dyDescent="0.2">
      <c r="A105" s="2"/>
      <c r="B105" s="24" t="str">
        <f t="shared" si="3"/>
        <v>[ROW:FEB_2024]</v>
      </c>
      <c r="C105" s="29">
        <f>IF(OR(Client_Info!$D$14="",Client_Info!$D$15=""),"",IF(EOMONTH(Client_Info!$D$14,97)&lt;=Client_Info!$D$15,EOMONTH(Client_Info!$D$14,97),""))</f>
        <v>45351</v>
      </c>
      <c r="D105" s="142">
        <v>0.44</v>
      </c>
      <c r="E105" s="142">
        <v>0.17</v>
      </c>
      <c r="F105" s="142">
        <v>1.36</v>
      </c>
      <c r="G105" s="142">
        <v>-0.87</v>
      </c>
      <c r="H105" s="142">
        <v>5.08</v>
      </c>
      <c r="I105" s="142">
        <v>0.27</v>
      </c>
      <c r="J105" s="142">
        <v>-0.09</v>
      </c>
      <c r="K105" s="142">
        <v>0.72</v>
      </c>
      <c r="L105" s="142">
        <v>-0.2</v>
      </c>
      <c r="M105" s="142">
        <v>-0.8</v>
      </c>
      <c r="N105" s="142">
        <v>-4.71</v>
      </c>
      <c r="O105" s="142">
        <v>2.19</v>
      </c>
      <c r="P105" s="142">
        <v>2.06</v>
      </c>
      <c r="Q105" s="142">
        <v>2.13</v>
      </c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120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</row>
    <row r="106" spans="1:200" ht="15" customHeight="1" x14ac:dyDescent="0.2">
      <c r="A106" s="2"/>
      <c r="B106" s="24" t="str">
        <f t="shared" si="3"/>
        <v>[ROW:MAR_2024]</v>
      </c>
      <c r="C106" s="29">
        <f>IF(OR(Client_Info!$D$14="",Client_Info!$D$15=""),"",IF(EOMONTH(Client_Info!$D$14,98)&lt;=Client_Info!$D$15,EOMONTH(Client_Info!$D$14,98),""))</f>
        <v>45382</v>
      </c>
      <c r="D106" s="142">
        <v>0.43</v>
      </c>
      <c r="E106" s="142">
        <v>-0.28999999999999998</v>
      </c>
      <c r="F106" s="142">
        <v>0.82</v>
      </c>
      <c r="G106" s="142">
        <v>1.9</v>
      </c>
      <c r="H106" s="142">
        <v>4.05</v>
      </c>
      <c r="I106" s="142">
        <v>-1.78</v>
      </c>
      <c r="J106" s="142">
        <v>0.88</v>
      </c>
      <c r="K106" s="142">
        <v>2.54</v>
      </c>
      <c r="L106" s="142">
        <v>-0.93</v>
      </c>
      <c r="M106" s="142">
        <v>2.17</v>
      </c>
      <c r="N106" s="142">
        <v>-2.21</v>
      </c>
      <c r="O106" s="142">
        <v>1.96</v>
      </c>
      <c r="P106" s="142">
        <v>0.88</v>
      </c>
      <c r="Q106" s="142">
        <v>1.02</v>
      </c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120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</row>
    <row r="107" spans="1:200" ht="15" customHeight="1" x14ac:dyDescent="0.2">
      <c r="A107" s="2"/>
      <c r="B107" s="24" t="str">
        <f t="shared" si="3"/>
        <v>[ROW:APR_2024]</v>
      </c>
      <c r="C107" s="29">
        <f>IF(OR(Client_Info!$D$14="",Client_Info!$D$15=""),"",IF(EOMONTH(Client_Info!$D$14,99)&lt;=Client_Info!$D$15,EOMONTH(Client_Info!$D$14,99),""))</f>
        <v>45412</v>
      </c>
      <c r="D107" s="142">
        <v>0.42</v>
      </c>
      <c r="E107" s="142">
        <v>-0.59</v>
      </c>
      <c r="F107" s="142">
        <v>-0.11</v>
      </c>
      <c r="G107" s="142">
        <v>1.06</v>
      </c>
      <c r="H107" s="142">
        <v>4.76</v>
      </c>
      <c r="I107" s="142">
        <v>-2.0499999999999998</v>
      </c>
      <c r="J107" s="142">
        <v>0.97</v>
      </c>
      <c r="K107" s="142">
        <v>1.07</v>
      </c>
      <c r="L107" s="142">
        <v>-2.9</v>
      </c>
      <c r="M107" s="142">
        <v>-1.78</v>
      </c>
      <c r="N107" s="142">
        <v>-5.56</v>
      </c>
      <c r="O107" s="142">
        <v>1.88</v>
      </c>
      <c r="P107" s="142">
        <v>0.01</v>
      </c>
      <c r="Q107" s="142">
        <v>-0.02</v>
      </c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120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</row>
    <row r="108" spans="1:200" ht="15" customHeight="1" x14ac:dyDescent="0.2">
      <c r="A108" s="2"/>
      <c r="B108" s="24" t="str">
        <f t="shared" si="3"/>
        <v>[ROW:MAY_2024]</v>
      </c>
      <c r="C108" s="29">
        <f>IF(OR(Client_Info!$D$14="",Client_Info!$D$15=""),"",IF(EOMONTH(Client_Info!$D$14,100)&lt;=Client_Info!$D$15,EOMONTH(Client_Info!$D$14,100),""))</f>
        <v>45443</v>
      </c>
      <c r="D108" s="142">
        <v>0.42</v>
      </c>
      <c r="E108" s="142">
        <v>-1.42</v>
      </c>
      <c r="F108" s="142">
        <v>-0.94</v>
      </c>
      <c r="G108" s="142">
        <v>0.68</v>
      </c>
      <c r="H108" s="142">
        <v>2.42</v>
      </c>
      <c r="I108" s="142">
        <v>0.92</v>
      </c>
      <c r="J108" s="142">
        <v>-0.74</v>
      </c>
      <c r="K108" s="142">
        <v>1.1100000000000001</v>
      </c>
      <c r="L108" s="142">
        <v>0.38</v>
      </c>
      <c r="M108" s="142">
        <v>-2.82</v>
      </c>
      <c r="N108" s="142">
        <v>10.88</v>
      </c>
      <c r="O108" s="142">
        <v>-0.12</v>
      </c>
      <c r="P108" s="142">
        <v>-4.43</v>
      </c>
      <c r="Q108" s="142">
        <v>-5.13</v>
      </c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120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</row>
    <row r="109" spans="1:200" ht="15" customHeight="1" x14ac:dyDescent="0.2">
      <c r="A109" s="2"/>
      <c r="B109" s="24" t="str">
        <f t="shared" si="3"/>
        <v>[ROW:JUN_2024]</v>
      </c>
      <c r="C109" s="29">
        <f>IF(OR(Client_Info!$D$14="",Client_Info!$D$15=""),"",IF(EOMONTH(Client_Info!$D$14,101)&lt;=Client_Info!$D$15,EOMONTH(Client_Info!$D$14,101),""))</f>
        <v>45473</v>
      </c>
      <c r="D109" s="142">
        <v>0.41</v>
      </c>
      <c r="E109" s="142">
        <v>0.11</v>
      </c>
      <c r="F109" s="142">
        <v>1.55</v>
      </c>
      <c r="G109" s="142">
        <v>2.5</v>
      </c>
      <c r="H109" s="142">
        <v>8.8800000000000008</v>
      </c>
      <c r="I109" s="142">
        <v>3.71</v>
      </c>
      <c r="J109" s="142">
        <v>2.13</v>
      </c>
      <c r="K109" s="142">
        <v>1.88</v>
      </c>
      <c r="L109" s="142">
        <v>2.46</v>
      </c>
      <c r="M109" s="142">
        <v>1.48</v>
      </c>
      <c r="N109" s="142">
        <v>0.85</v>
      </c>
      <c r="O109" s="142">
        <v>-2.21</v>
      </c>
      <c r="P109" s="142">
        <v>-1.38</v>
      </c>
      <c r="Q109" s="142">
        <v>-0.82</v>
      </c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120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</row>
    <row r="110" spans="1:200" ht="15" customHeight="1" x14ac:dyDescent="0.2">
      <c r="A110" s="2"/>
      <c r="B110" s="24" t="str">
        <f t="shared" si="3"/>
        <v>[ROW:JUL_2024]</v>
      </c>
      <c r="C110" s="29">
        <f>IF(OR(Client_Info!$D$14="",Client_Info!$D$15=""),"",IF(EOMONTH(Client_Info!$D$14,102)&lt;=Client_Info!$D$15,EOMONTH(Client_Info!$D$14,102),""))</f>
        <v>45504</v>
      </c>
      <c r="D110" s="142">
        <v>0.41</v>
      </c>
      <c r="E110" s="142">
        <v>-1.53</v>
      </c>
      <c r="F110" s="142">
        <v>1.29</v>
      </c>
      <c r="G110" s="142">
        <v>-1.3</v>
      </c>
      <c r="H110" s="142">
        <v>11.34</v>
      </c>
      <c r="I110" s="142">
        <v>2.62</v>
      </c>
      <c r="J110" s="142">
        <v>0.11</v>
      </c>
      <c r="K110" s="142">
        <v>-0.19</v>
      </c>
      <c r="L110" s="142">
        <v>2.33</v>
      </c>
      <c r="M110" s="142">
        <v>1.49</v>
      </c>
      <c r="N110" s="142">
        <v>-2.97</v>
      </c>
      <c r="O110" s="142">
        <v>-0.39</v>
      </c>
      <c r="P110" s="142">
        <v>-0.28000000000000003</v>
      </c>
      <c r="Q110" s="142">
        <v>-0.48</v>
      </c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120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</row>
    <row r="111" spans="1:200" ht="15" customHeight="1" x14ac:dyDescent="0.2">
      <c r="A111" s="2"/>
      <c r="B111" s="24" t="str">
        <f t="shared" si="3"/>
        <v>[ROW:AUG_2024]</v>
      </c>
      <c r="C111" s="29">
        <f>IF(OR(Client_Info!$D$14="",Client_Info!$D$15=""),"",IF(EOMONTH(Client_Info!$D$14,103)&lt;=Client_Info!$D$15,EOMONTH(Client_Info!$D$14,103),""))</f>
        <v>45535</v>
      </c>
      <c r="D111" s="142">
        <v>0.4</v>
      </c>
      <c r="E111" s="142">
        <v>1.0900000000000001</v>
      </c>
      <c r="F111" s="142">
        <v>0.43</v>
      </c>
      <c r="G111" s="142">
        <v>-5.56</v>
      </c>
      <c r="H111" s="142">
        <v>2.2200000000000002</v>
      </c>
      <c r="I111" s="142">
        <v>-3.13</v>
      </c>
      <c r="J111" s="142">
        <v>-0.89</v>
      </c>
      <c r="K111" s="142">
        <v>-0.88</v>
      </c>
      <c r="L111" s="142">
        <v>-0.11</v>
      </c>
      <c r="M111" s="142">
        <v>-1.55</v>
      </c>
      <c r="N111" s="142">
        <v>1.78</v>
      </c>
      <c r="O111" s="142">
        <v>-3.17</v>
      </c>
      <c r="P111" s="142">
        <v>-2.96</v>
      </c>
      <c r="Q111" s="142">
        <v>-2.4700000000000002</v>
      </c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120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</row>
    <row r="112" spans="1:200" ht="15" customHeight="1" x14ac:dyDescent="0.2">
      <c r="A112" s="2"/>
      <c r="B112" s="24" t="str">
        <f t="shared" si="3"/>
        <v>[ROW:SEP_2024]</v>
      </c>
      <c r="C112" s="29">
        <f>IF(OR(Client_Info!$D$14="",Client_Info!$D$15=""),"",IF(EOMONTH(Client_Info!$D$14,104)&lt;=Client_Info!$D$15,EOMONTH(Client_Info!$D$14,104),""))</f>
        <v>45565</v>
      </c>
      <c r="D112" s="142">
        <v>0.39</v>
      </c>
      <c r="E112" s="142">
        <v>0.3</v>
      </c>
      <c r="F112" s="142">
        <v>2.67</v>
      </c>
      <c r="G112" s="142">
        <v>-4.2</v>
      </c>
      <c r="H112" s="142">
        <v>0.94</v>
      </c>
      <c r="I112" s="142">
        <v>-1.79</v>
      </c>
      <c r="J112" s="142">
        <v>1.35</v>
      </c>
      <c r="K112" s="142">
        <v>-1.17</v>
      </c>
      <c r="L112" s="142">
        <v>-0.28000000000000003</v>
      </c>
      <c r="M112" s="142">
        <v>-1.4</v>
      </c>
      <c r="N112" s="142">
        <v>0.08</v>
      </c>
      <c r="O112" s="142">
        <v>-1.02</v>
      </c>
      <c r="P112" s="142">
        <v>0.16</v>
      </c>
      <c r="Q112" s="142">
        <v>0.3</v>
      </c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120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</row>
    <row r="113" spans="1:200" ht="15" customHeight="1" x14ac:dyDescent="0.2">
      <c r="A113" s="2"/>
      <c r="B113" s="24" t="str">
        <f t="shared" si="3"/>
        <v>[ROW:OCT_2024]</v>
      </c>
      <c r="C113" s="29">
        <f>IF(OR(Client_Info!$D$14="",Client_Info!$D$15=""),"",IF(EOMONTH(Client_Info!$D$14,105)&lt;=Client_Info!$D$15,EOMONTH(Client_Info!$D$14,105),""))</f>
        <v>45596</v>
      </c>
      <c r="D113" s="142">
        <v>0.39</v>
      </c>
      <c r="E113" s="142">
        <v>-1.47</v>
      </c>
      <c r="F113" s="142">
        <v>-0.69</v>
      </c>
      <c r="G113" s="142">
        <v>-0.68</v>
      </c>
      <c r="H113" s="142">
        <v>8.23</v>
      </c>
      <c r="I113" s="142">
        <v>2.67</v>
      </c>
      <c r="J113" s="142">
        <v>-1.1399999999999999</v>
      </c>
      <c r="K113" s="142">
        <v>-2.5</v>
      </c>
      <c r="L113" s="142">
        <v>0.96</v>
      </c>
      <c r="M113" s="142">
        <v>1.44</v>
      </c>
      <c r="N113" s="142">
        <v>-0.48</v>
      </c>
      <c r="O113" s="142">
        <v>-3.24</v>
      </c>
      <c r="P113" s="142">
        <v>3.08</v>
      </c>
      <c r="Q113" s="142">
        <v>2.75</v>
      </c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120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  <c r="BB113" s="25"/>
      <c r="BC113" s="25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</row>
    <row r="114" spans="1:200" ht="15" customHeight="1" x14ac:dyDescent="0.2">
      <c r="A114" s="2"/>
      <c r="B114" s="24" t="str">
        <f t="shared" si="3"/>
        <v>[ROW:NOV_2024]</v>
      </c>
      <c r="C114" s="29">
        <f>IF(OR(Client_Info!$D$14="",Client_Info!$D$15=""),"",IF(EOMONTH(Client_Info!$D$14,106)&lt;=Client_Info!$D$15,EOMONTH(Client_Info!$D$14,106),""))</f>
        <v>45626</v>
      </c>
      <c r="D114" s="142">
        <v>0.38</v>
      </c>
      <c r="E114" s="142">
        <v>-0.15</v>
      </c>
      <c r="F114" s="142">
        <v>-1.22</v>
      </c>
      <c r="G114" s="142">
        <v>0.4</v>
      </c>
      <c r="H114" s="142">
        <v>8.4499999999999993</v>
      </c>
      <c r="I114" s="142">
        <v>-1.77</v>
      </c>
      <c r="J114" s="142">
        <v>0.47</v>
      </c>
      <c r="K114" s="142">
        <v>3.3</v>
      </c>
      <c r="L114" s="142">
        <v>-0.74</v>
      </c>
      <c r="M114" s="142">
        <v>-5.35</v>
      </c>
      <c r="N114" s="142">
        <v>3.86</v>
      </c>
      <c r="O114" s="142">
        <v>-1.35</v>
      </c>
      <c r="P114" s="142">
        <v>9.19</v>
      </c>
      <c r="Q114" s="142">
        <v>9.17</v>
      </c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120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</row>
    <row r="115" spans="1:200" ht="15" customHeight="1" x14ac:dyDescent="0.2">
      <c r="A115" s="2"/>
      <c r="B115" s="24" t="str">
        <f t="shared" si="3"/>
        <v>[ROW:DEC_2024]</v>
      </c>
      <c r="C115" s="29">
        <f>IF(OR(Client_Info!$D$14="",Client_Info!$D$15=""),"",IF(EOMONTH(Client_Info!$D$14,107)&lt;=Client_Info!$D$15,EOMONTH(Client_Info!$D$14,107),""))</f>
        <v>45657</v>
      </c>
      <c r="D115" s="142">
        <v>0.38</v>
      </c>
      <c r="E115" s="142">
        <v>-0.66</v>
      </c>
      <c r="F115" s="142">
        <v>-0.26</v>
      </c>
      <c r="G115" s="142">
        <v>1.87</v>
      </c>
      <c r="H115" s="142">
        <v>0.73</v>
      </c>
      <c r="I115" s="142">
        <v>-0.02</v>
      </c>
      <c r="J115" s="142">
        <v>0.4</v>
      </c>
      <c r="K115" s="142">
        <v>-1.26</v>
      </c>
      <c r="L115" s="142">
        <v>0.77</v>
      </c>
      <c r="M115" s="142">
        <v>-5.19</v>
      </c>
      <c r="N115" s="142">
        <v>4.5999999999999996</v>
      </c>
      <c r="O115" s="142">
        <v>0.28000000000000003</v>
      </c>
      <c r="P115" s="142">
        <v>1.43</v>
      </c>
      <c r="Q115" s="142">
        <v>1.76</v>
      </c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120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A115" s="25"/>
      <c r="BB115" s="25"/>
      <c r="BC115" s="25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</row>
    <row r="116" spans="1:200" ht="15" customHeight="1" x14ac:dyDescent="0.2">
      <c r="A116" s="2"/>
      <c r="B116" s="24" t="str">
        <f t="shared" si="3"/>
        <v>[ROW:JAN_2025]</v>
      </c>
      <c r="C116" s="29">
        <f>IF(OR(Client_Info!$D$14="",Client_Info!$D$15=""),"",IF(EOMONTH(Client_Info!$D$14,108)&lt;=Client_Info!$D$15,EOMONTH(Client_Info!$D$14,108),""))</f>
        <v>45688</v>
      </c>
      <c r="D116" s="142">
        <v>0.38</v>
      </c>
      <c r="E116" s="142">
        <v>0.57999999999999996</v>
      </c>
      <c r="F116" s="142">
        <v>0.49</v>
      </c>
      <c r="G116" s="142">
        <v>-0.5</v>
      </c>
      <c r="H116" s="142">
        <v>-1.37</v>
      </c>
      <c r="I116" s="142">
        <v>1.77</v>
      </c>
      <c r="J116" s="142">
        <v>2.2999999999999998</v>
      </c>
      <c r="K116" s="142">
        <v>0.01</v>
      </c>
      <c r="L116" s="142">
        <v>1.3</v>
      </c>
      <c r="M116" s="142">
        <v>-2.4</v>
      </c>
      <c r="N116" s="142">
        <v>-2.09</v>
      </c>
      <c r="O116" s="142">
        <v>0.17</v>
      </c>
      <c r="P116" s="142">
        <v>1.9</v>
      </c>
      <c r="Q116" s="142">
        <v>2.12</v>
      </c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120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  <c r="AW116" s="25"/>
      <c r="AX116" s="25"/>
      <c r="AY116" s="25"/>
      <c r="AZ116" s="25"/>
      <c r="BA116" s="25"/>
      <c r="BB116" s="25"/>
      <c r="BC116" s="25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</row>
    <row r="117" spans="1:200" ht="15" customHeight="1" x14ac:dyDescent="0.2">
      <c r="A117" s="2"/>
      <c r="B117" s="24" t="str">
        <f t="shared" si="3"/>
        <v>[ROW:FEB_2025]</v>
      </c>
      <c r="C117" s="29">
        <f>IF(OR(Client_Info!$D$14="",Client_Info!$D$15=""),"",IF(EOMONTH(Client_Info!$D$14,109)&lt;=Client_Info!$D$15,EOMONTH(Client_Info!$D$14,109),""))</f>
        <v>45716</v>
      </c>
      <c r="D117" s="142">
        <v>0.37</v>
      </c>
      <c r="E117" s="142">
        <v>1.76</v>
      </c>
      <c r="F117" s="142">
        <v>0.82</v>
      </c>
      <c r="G117" s="142">
        <v>3.52</v>
      </c>
      <c r="H117" s="142">
        <v>-2.0699999999999998</v>
      </c>
      <c r="I117" s="142">
        <v>-1.74</v>
      </c>
      <c r="J117" s="142">
        <v>1.24</v>
      </c>
      <c r="K117" s="142">
        <v>-7.0000000000000007E-2</v>
      </c>
      <c r="L117" s="142">
        <v>1.83</v>
      </c>
      <c r="M117" s="142">
        <v>-0.36</v>
      </c>
      <c r="N117" s="142">
        <v>-2.33</v>
      </c>
      <c r="O117" s="142">
        <v>1.59</v>
      </c>
      <c r="P117" s="142">
        <v>0.88</v>
      </c>
      <c r="Q117" s="142">
        <v>0.68</v>
      </c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120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/>
      <c r="AX117" s="25"/>
      <c r="AY117" s="25"/>
      <c r="AZ117" s="25"/>
      <c r="BA117" s="25"/>
      <c r="BB117" s="25"/>
      <c r="BC117" s="25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</row>
    <row r="118" spans="1:200" ht="15" customHeight="1" x14ac:dyDescent="0.2">
      <c r="A118" s="2"/>
      <c r="B118" s="24" t="str">
        <f t="shared" si="3"/>
        <v>[ROW:MAR_2025]</v>
      </c>
      <c r="C118" s="29">
        <f>IF(OR(Client_Info!$D$14="",Client_Info!$D$15=""),"",IF(EOMONTH(Client_Info!$D$14,110)&lt;=Client_Info!$D$15,EOMONTH(Client_Info!$D$14,110),""))</f>
        <v>45747</v>
      </c>
      <c r="D118" s="142">
        <v>0.37</v>
      </c>
      <c r="E118" s="142">
        <v>-1.96</v>
      </c>
      <c r="F118" s="142">
        <v>0.26</v>
      </c>
      <c r="G118" s="142">
        <v>3.61</v>
      </c>
      <c r="H118" s="142">
        <v>-5.4</v>
      </c>
      <c r="I118" s="142">
        <v>0.74</v>
      </c>
      <c r="J118" s="142">
        <v>0.37</v>
      </c>
      <c r="K118" s="142">
        <v>0.78</v>
      </c>
      <c r="L118" s="142">
        <v>0.3</v>
      </c>
      <c r="M118" s="142">
        <v>1.76</v>
      </c>
      <c r="N118" s="142">
        <v>-0.76</v>
      </c>
      <c r="O118" s="142">
        <v>0.85</v>
      </c>
      <c r="P118" s="142">
        <v>-7.53</v>
      </c>
      <c r="Q118" s="142">
        <v>-7.31</v>
      </c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120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25"/>
      <c r="BC118" s="25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</row>
    <row r="119" spans="1:200" ht="15" customHeight="1" x14ac:dyDescent="0.2">
      <c r="A119" s="2"/>
      <c r="B119" s="24" t="str">
        <f t="shared" si="3"/>
        <v>[ROW:APR_2025]</v>
      </c>
      <c r="C119" s="29">
        <f>IF(OR(Client_Info!$D$14="",Client_Info!$D$15=""),"",IF(EOMONTH(Client_Info!$D$14,111)&lt;=Client_Info!$D$15,EOMONTH(Client_Info!$D$14,111),""))</f>
        <v>45777</v>
      </c>
      <c r="D119" s="142">
        <v>0.36</v>
      </c>
      <c r="E119" s="142">
        <v>0.34</v>
      </c>
      <c r="F119" s="142">
        <v>0.95</v>
      </c>
      <c r="G119" s="142">
        <v>0.41</v>
      </c>
      <c r="H119" s="142">
        <v>-5.23</v>
      </c>
      <c r="I119" s="142">
        <v>-2.58</v>
      </c>
      <c r="J119" s="142">
        <v>1.83</v>
      </c>
      <c r="K119" s="142">
        <v>1.51</v>
      </c>
      <c r="L119" s="142">
        <v>0.18</v>
      </c>
      <c r="M119" s="142">
        <v>6.46</v>
      </c>
      <c r="N119" s="142">
        <v>-11.29</v>
      </c>
      <c r="O119" s="142">
        <v>1.59</v>
      </c>
      <c r="P119" s="142">
        <v>0.95</v>
      </c>
      <c r="Q119" s="142">
        <v>0.89</v>
      </c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120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25"/>
      <c r="AV119" s="25"/>
      <c r="AW119" s="25"/>
      <c r="AX119" s="25"/>
      <c r="AY119" s="25"/>
      <c r="AZ119" s="25"/>
      <c r="BA119" s="25"/>
      <c r="BB119" s="25"/>
      <c r="BC119" s="25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</row>
    <row r="120" spans="1:200" ht="15" customHeight="1" x14ac:dyDescent="0.2">
      <c r="A120" s="2"/>
      <c r="B120" s="24" t="str">
        <f t="shared" si="3"/>
        <v>[ROW:MAY_2025]</v>
      </c>
      <c r="C120" s="29">
        <f>IF(OR(Client_Info!$D$14="",Client_Info!$D$15=""),"",IF(EOMONTH(Client_Info!$D$14,112)&lt;=Client_Info!$D$15,EOMONTH(Client_Info!$D$14,112),""))</f>
        <v>45808</v>
      </c>
      <c r="D120" s="142">
        <v>0.36</v>
      </c>
      <c r="E120" s="142">
        <v>0.02</v>
      </c>
      <c r="F120" s="142">
        <v>-0.9</v>
      </c>
      <c r="G120" s="142">
        <v>-0.06</v>
      </c>
      <c r="H120" s="142">
        <v>-4.72</v>
      </c>
      <c r="I120" s="142">
        <v>-0.89</v>
      </c>
      <c r="J120" s="142">
        <v>2.82</v>
      </c>
      <c r="K120" s="142">
        <v>1.58</v>
      </c>
      <c r="L120" s="142">
        <v>-0.6</v>
      </c>
      <c r="M120" s="142">
        <v>3.97</v>
      </c>
      <c r="N120" s="142">
        <v>-7.21</v>
      </c>
      <c r="O120" s="142">
        <v>0.18</v>
      </c>
      <c r="P120" s="142">
        <v>1.27</v>
      </c>
      <c r="Q120" s="142">
        <v>1.26</v>
      </c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120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5"/>
      <c r="AZ120" s="25"/>
      <c r="BA120" s="25"/>
      <c r="BB120" s="25"/>
      <c r="BC120" s="25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</row>
    <row r="121" spans="1:200" ht="15" customHeight="1" x14ac:dyDescent="0.2">
      <c r="A121" s="2"/>
      <c r="B121" s="24" t="str">
        <f t="shared" si="3"/>
        <v>[ROW:JUN_2025]</v>
      </c>
      <c r="C121" s="29">
        <f>IF(OR(Client_Info!$D$14="",Client_Info!$D$15=""),"",IF(EOMONTH(Client_Info!$D$14,113)&lt;=Client_Info!$D$15,EOMONTH(Client_Info!$D$14,113),""))</f>
        <v>45838</v>
      </c>
      <c r="D121" s="142">
        <v>0.36</v>
      </c>
      <c r="E121" s="142">
        <v>0.98</v>
      </c>
      <c r="F121" s="142">
        <v>2.21</v>
      </c>
      <c r="G121" s="142">
        <v>1.48</v>
      </c>
      <c r="H121" s="142">
        <v>-3</v>
      </c>
      <c r="I121" s="142">
        <v>1.24</v>
      </c>
      <c r="J121" s="142">
        <v>1.38</v>
      </c>
      <c r="K121" s="142">
        <v>-0.51</v>
      </c>
      <c r="L121" s="142">
        <v>-0.54</v>
      </c>
      <c r="M121" s="142">
        <v>-0.15</v>
      </c>
      <c r="N121" s="142">
        <v>7.77</v>
      </c>
      <c r="O121" s="142">
        <v>-0.04</v>
      </c>
      <c r="P121" s="142">
        <v>11.47</v>
      </c>
      <c r="Q121" s="142">
        <v>11.67</v>
      </c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120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5"/>
      <c r="AZ121" s="25"/>
      <c r="BA121" s="25"/>
      <c r="BB121" s="25"/>
      <c r="BC121" s="25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</row>
    <row r="122" spans="1:200" ht="15" customHeight="1" x14ac:dyDescent="0.2">
      <c r="A122" s="2"/>
      <c r="B122" s="24" t="str">
        <f t="shared" si="3"/>
        <v>[ROW:JUL_2025]</v>
      </c>
      <c r="C122" s="29">
        <f>IF(OR(Client_Info!$D$14="",Client_Info!$D$15=""),"",IF(EOMONTH(Client_Info!$D$14,114)&lt;=Client_Info!$D$15,EOMONTH(Client_Info!$D$14,114),""))</f>
        <v>45869</v>
      </c>
      <c r="D122" s="142">
        <v>0.35</v>
      </c>
      <c r="E122" s="142">
        <v>0.45</v>
      </c>
      <c r="F122" s="142">
        <v>0.45</v>
      </c>
      <c r="G122" s="142">
        <v>2.8</v>
      </c>
      <c r="H122" s="142">
        <v>0.44</v>
      </c>
      <c r="I122" s="142">
        <v>-3.18</v>
      </c>
      <c r="J122" s="142">
        <v>0.43</v>
      </c>
      <c r="K122" s="142">
        <v>0.09</v>
      </c>
      <c r="L122" s="142">
        <v>0.16</v>
      </c>
      <c r="M122" s="142">
        <v>0.42</v>
      </c>
      <c r="N122" s="142">
        <v>9.2100000000000009</v>
      </c>
      <c r="O122" s="142">
        <v>0.87</v>
      </c>
      <c r="P122" s="142">
        <v>0.81</v>
      </c>
      <c r="Q122" s="142">
        <v>0.17</v>
      </c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120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25"/>
      <c r="AV122" s="25"/>
      <c r="AW122" s="25"/>
      <c r="AX122" s="25"/>
      <c r="AY122" s="25"/>
      <c r="AZ122" s="25"/>
      <c r="BA122" s="25"/>
      <c r="BB122" s="25"/>
      <c r="BC122" s="25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</row>
    <row r="123" spans="1:200" ht="15" customHeight="1" x14ac:dyDescent="0.2">
      <c r="A123" s="2"/>
      <c r="B123" s="24" t="str">
        <f t="shared" si="3"/>
        <v>[ROW:AUG_2025]</v>
      </c>
      <c r="C123" s="29">
        <f>IF(OR(Client_Info!$D$14="",Client_Info!$D$15=""),"",IF(EOMONTH(Client_Info!$D$14,115)&lt;=Client_Info!$D$15,EOMONTH(Client_Info!$D$14,115),""))</f>
        <v>45900</v>
      </c>
      <c r="D123" s="142">
        <v>0.35</v>
      </c>
      <c r="E123" s="142">
        <v>-0.66</v>
      </c>
      <c r="F123" s="142">
        <v>1.83</v>
      </c>
      <c r="G123" s="142">
        <v>4.2300000000000004</v>
      </c>
      <c r="H123" s="142">
        <v>4.07</v>
      </c>
      <c r="I123" s="142">
        <v>1.52</v>
      </c>
      <c r="J123" s="142">
        <v>-1.86</v>
      </c>
      <c r="K123" s="142">
        <v>0.74</v>
      </c>
      <c r="L123" s="142">
        <v>0.84</v>
      </c>
      <c r="M123" s="142">
        <v>-3.55</v>
      </c>
      <c r="N123" s="142">
        <v>-0.63</v>
      </c>
      <c r="O123" s="142">
        <v>-1.29</v>
      </c>
      <c r="P123" s="142">
        <v>2.5</v>
      </c>
      <c r="Q123" s="142">
        <v>2.31</v>
      </c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120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5"/>
      <c r="AZ123" s="25"/>
      <c r="BA123" s="25"/>
      <c r="BB123" s="25"/>
      <c r="BC123" s="25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</row>
    <row r="124" spans="1:200" ht="15" customHeight="1" x14ac:dyDescent="0.2">
      <c r="A124" s="2"/>
      <c r="B124" s="24" t="str">
        <f t="shared" si="3"/>
        <v>[ROW:SEP_2025]</v>
      </c>
      <c r="C124" s="29">
        <f>IF(OR(Client_Info!$D$14="",Client_Info!$D$15=""),"",IF(EOMONTH(Client_Info!$D$14,116)&lt;=Client_Info!$D$15,EOMONTH(Client_Info!$D$14,116),""))</f>
        <v>45930</v>
      </c>
      <c r="D124" s="142">
        <v>0.34</v>
      </c>
      <c r="E124" s="142">
        <v>-0.16</v>
      </c>
      <c r="F124" s="142">
        <v>0.94</v>
      </c>
      <c r="G124" s="142">
        <v>2.92</v>
      </c>
      <c r="H124" s="142">
        <v>6.19</v>
      </c>
      <c r="I124" s="142">
        <v>0.45</v>
      </c>
      <c r="J124" s="142">
        <v>-1.43</v>
      </c>
      <c r="K124" s="142">
        <v>-0.03</v>
      </c>
      <c r="L124" s="142">
        <v>1.47</v>
      </c>
      <c r="M124" s="142">
        <v>0.43</v>
      </c>
      <c r="N124" s="142">
        <v>3.66</v>
      </c>
      <c r="O124" s="142">
        <v>-1.44</v>
      </c>
      <c r="P124" s="142">
        <v>0.24</v>
      </c>
      <c r="Q124" s="142">
        <v>0.85</v>
      </c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120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5"/>
      <c r="AZ124" s="25"/>
      <c r="BA124" s="25"/>
      <c r="BB124" s="25"/>
      <c r="BC124" s="25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</row>
    <row r="125" spans="1:200" ht="15" customHeight="1" x14ac:dyDescent="0.2">
      <c r="A125" s="2"/>
      <c r="B125" s="24" t="str">
        <f t="shared" si="3"/>
        <v>[ROW:OCT_2025]</v>
      </c>
      <c r="C125" s="29">
        <f>IF(OR(Client_Info!$D$14="",Client_Info!$D$15=""),"",IF(EOMONTH(Client_Info!$D$14,117)&lt;=Client_Info!$D$15,EOMONTH(Client_Info!$D$14,117),""))</f>
        <v>45961</v>
      </c>
      <c r="D125" s="142">
        <v>0.34</v>
      </c>
      <c r="E125" s="142">
        <v>-0.71</v>
      </c>
      <c r="F125" s="142">
        <v>1.07</v>
      </c>
      <c r="G125" s="142">
        <v>1.2</v>
      </c>
      <c r="H125" s="142">
        <v>0.67</v>
      </c>
      <c r="I125" s="142">
        <v>1.78</v>
      </c>
      <c r="J125" s="142">
        <v>-0.11</v>
      </c>
      <c r="K125" s="142">
        <v>2.65</v>
      </c>
      <c r="L125" s="142">
        <v>-0.51</v>
      </c>
      <c r="M125" s="142">
        <v>-0.67</v>
      </c>
      <c r="N125" s="142">
        <v>2.2799999999999998</v>
      </c>
      <c r="O125" s="142">
        <v>-0.31</v>
      </c>
      <c r="P125" s="142">
        <v>-4</v>
      </c>
      <c r="Q125" s="142">
        <v>-4.0599999999999996</v>
      </c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120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A125" s="25"/>
      <c r="BB125" s="25"/>
      <c r="BC125" s="25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</row>
    <row r="126" spans="1:200" ht="15" customHeight="1" x14ac:dyDescent="0.2">
      <c r="A126" s="2"/>
      <c r="B126" s="24" t="str">
        <f t="shared" si="3"/>
        <v>[ROW:NOV_2025]</v>
      </c>
      <c r="C126" s="29">
        <f>IF(OR(Client_Info!$D$14="",Client_Info!$D$15=""),"",IF(EOMONTH(Client_Info!$D$14,118)&lt;=Client_Info!$D$15,EOMONTH(Client_Info!$D$14,118),""))</f>
        <v>45991</v>
      </c>
      <c r="D126" s="142">
        <v>0.34</v>
      </c>
      <c r="E126" s="142">
        <v>1.45</v>
      </c>
      <c r="F126" s="142">
        <v>1.2</v>
      </c>
      <c r="G126" s="142">
        <v>0.19</v>
      </c>
      <c r="H126" s="142">
        <v>3.46</v>
      </c>
      <c r="I126" s="142">
        <v>1.02</v>
      </c>
      <c r="J126" s="142">
        <v>-0.64</v>
      </c>
      <c r="K126" s="142">
        <v>1.04</v>
      </c>
      <c r="L126" s="142">
        <v>2.14</v>
      </c>
      <c r="M126" s="142">
        <v>1.8</v>
      </c>
      <c r="N126" s="142">
        <v>16.670000000000002</v>
      </c>
      <c r="O126" s="142">
        <v>1.96</v>
      </c>
      <c r="P126" s="142">
        <v>5.75</v>
      </c>
      <c r="Q126" s="142">
        <v>5.95</v>
      </c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120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</row>
    <row r="127" spans="1:200" ht="15" customHeight="1" x14ac:dyDescent="0.2">
      <c r="A127" s="2"/>
      <c r="B127" s="24" t="str">
        <f t="shared" si="3"/>
        <v>[ROW:DEC_2025]</v>
      </c>
      <c r="C127" s="29">
        <f>IF(OR(Client_Info!$D$14="",Client_Info!$D$15=""),"",IF(EOMONTH(Client_Info!$D$14,119)&lt;=Client_Info!$D$15,EOMONTH(Client_Info!$D$14,119),""))</f>
        <v>46022</v>
      </c>
      <c r="D127" s="142">
        <v>0.33</v>
      </c>
      <c r="E127" s="142">
        <v>0.23</v>
      </c>
      <c r="F127" s="142">
        <v>1.06</v>
      </c>
      <c r="G127" s="142">
        <v>0.23</v>
      </c>
      <c r="H127" s="142">
        <v>1.43</v>
      </c>
      <c r="I127" s="142">
        <v>3.65</v>
      </c>
      <c r="J127" s="142">
        <v>0.09</v>
      </c>
      <c r="K127" s="142">
        <v>1.39</v>
      </c>
      <c r="L127" s="142">
        <v>0.1</v>
      </c>
      <c r="M127" s="142">
        <v>-2.84</v>
      </c>
      <c r="N127" s="142">
        <v>6.48</v>
      </c>
      <c r="O127" s="142">
        <v>2.4500000000000002</v>
      </c>
      <c r="P127" s="142">
        <v>4.51</v>
      </c>
      <c r="Q127" s="142">
        <v>4.26</v>
      </c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120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5"/>
      <c r="AZ127" s="25"/>
      <c r="BA127" s="25"/>
      <c r="BB127" s="25"/>
      <c r="BC127" s="25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</row>
    <row r="128" spans="1:200" ht="15" customHeight="1" x14ac:dyDescent="0.2">
      <c r="A128" s="2"/>
      <c r="B128" s="24" t="str">
        <f t="shared" si="3"/>
        <v/>
      </c>
      <c r="C128" s="29" t="str">
        <f>IF(OR(Client_Info!$D$14="",Client_Info!$D$15=""),"",IF(EOMONTH(Client_Info!$D$14,120)&lt;=Client_Info!$D$15,EOMONTH(Client_Info!$D$14,120),""))</f>
        <v/>
      </c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120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5"/>
      <c r="AZ128" s="25"/>
      <c r="BA128" s="25"/>
      <c r="BB128" s="25"/>
      <c r="BC128" s="25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</row>
    <row r="129" spans="1:200" ht="15" customHeight="1" x14ac:dyDescent="0.2">
      <c r="A129" s="2"/>
      <c r="B129" s="24" t="str">
        <f t="shared" si="3"/>
        <v/>
      </c>
      <c r="C129" s="29" t="str">
        <f>IF(OR(Client_Info!$D$14="",Client_Info!$D$15=""),"",IF(EOMONTH(Client_Info!$D$14,121)&lt;=Client_Info!$D$15,EOMONTH(Client_Info!$D$14,121),""))</f>
        <v/>
      </c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120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  <c r="AW129" s="25"/>
      <c r="AX129" s="25"/>
      <c r="AY129" s="25"/>
      <c r="AZ129" s="25"/>
      <c r="BA129" s="25"/>
      <c r="BB129" s="25"/>
      <c r="BC129" s="25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</row>
    <row r="130" spans="1:200" ht="15" customHeight="1" x14ac:dyDescent="0.2">
      <c r="A130" s="2"/>
      <c r="B130" s="24" t="str">
        <f t="shared" si="3"/>
        <v/>
      </c>
      <c r="C130" s="29" t="str">
        <f>IF(OR(Client_Info!$D$14="",Client_Info!$D$15=""),"",IF(EOMONTH(Client_Info!$D$14,122)&lt;=Client_Info!$D$15,EOMONTH(Client_Info!$D$14,122),""))</f>
        <v/>
      </c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120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  <c r="AY130" s="25"/>
      <c r="AZ130" s="25"/>
      <c r="BA130" s="25"/>
      <c r="BB130" s="25"/>
      <c r="BC130" s="25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</row>
    <row r="131" spans="1:200" ht="15" customHeight="1" x14ac:dyDescent="0.2">
      <c r="A131" s="2"/>
      <c r="B131" s="24" t="str">
        <f t="shared" si="3"/>
        <v/>
      </c>
      <c r="C131" s="29" t="str">
        <f>IF(OR(Client_Info!$D$14="",Client_Info!$D$15=""),"",IF(EOMONTH(Client_Info!$D$14,123)&lt;=Client_Info!$D$15,EOMONTH(Client_Info!$D$14,123),""))</f>
        <v/>
      </c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120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  <c r="AT131" s="25"/>
      <c r="AU131" s="25"/>
      <c r="AV131" s="25"/>
      <c r="AW131" s="25"/>
      <c r="AX131" s="25"/>
      <c r="AY131" s="25"/>
      <c r="AZ131" s="25"/>
      <c r="BA131" s="25"/>
      <c r="BB131" s="25"/>
      <c r="BC131" s="25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</row>
    <row r="132" spans="1:200" ht="15" customHeight="1" x14ac:dyDescent="0.2">
      <c r="A132" s="2"/>
      <c r="B132" s="24" t="str">
        <f t="shared" si="3"/>
        <v/>
      </c>
      <c r="C132" s="29" t="str">
        <f>IF(OR(Client_Info!$D$14="",Client_Info!$D$15=""),"",IF(EOMONTH(Client_Info!$D$14,124)&lt;=Client_Info!$D$15,EOMONTH(Client_Info!$D$14,124),""))</f>
        <v/>
      </c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120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</row>
    <row r="133" spans="1:200" ht="15" customHeight="1" x14ac:dyDescent="0.2">
      <c r="A133" s="2"/>
      <c r="B133" s="24" t="str">
        <f t="shared" si="3"/>
        <v/>
      </c>
      <c r="C133" s="29" t="str">
        <f>IF(OR(Client_Info!$D$14="",Client_Info!$D$15=""),"",IF(EOMONTH(Client_Info!$D$14,125)&lt;=Client_Info!$D$15,EOMONTH(Client_Info!$D$14,125),""))</f>
        <v/>
      </c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120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A133" s="25"/>
      <c r="BB133" s="25"/>
      <c r="BC133" s="25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</row>
    <row r="134" spans="1:200" ht="15" customHeight="1" x14ac:dyDescent="0.2">
      <c r="A134" s="2"/>
      <c r="B134" s="24" t="str">
        <f t="shared" si="3"/>
        <v/>
      </c>
      <c r="C134" s="29" t="str">
        <f>IF(OR(Client_Info!$D$14="",Client_Info!$D$15=""),"",IF(EOMONTH(Client_Info!$D$14,126)&lt;=Client_Info!$D$15,EOMONTH(Client_Info!$D$14,126),""))</f>
        <v/>
      </c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120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</row>
    <row r="135" spans="1:200" ht="15" customHeight="1" x14ac:dyDescent="0.2">
      <c r="A135" s="2"/>
      <c r="B135" s="24" t="str">
        <f t="shared" si="3"/>
        <v/>
      </c>
      <c r="C135" s="29" t="str">
        <f>IF(OR(Client_Info!$D$14="",Client_Info!$D$15=""),"",IF(EOMONTH(Client_Info!$D$14,127)&lt;=Client_Info!$D$15,EOMONTH(Client_Info!$D$14,127),""))</f>
        <v/>
      </c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120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  <c r="AT135" s="25"/>
      <c r="AU135" s="25"/>
      <c r="AV135" s="25"/>
      <c r="AW135" s="25"/>
      <c r="AX135" s="25"/>
      <c r="AY135" s="25"/>
      <c r="AZ135" s="25"/>
      <c r="BA135" s="25"/>
      <c r="BB135" s="25"/>
      <c r="BC135" s="25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</row>
    <row r="136" spans="1:200" ht="15" customHeight="1" x14ac:dyDescent="0.2">
      <c r="A136" s="2"/>
      <c r="B136" s="24" t="str">
        <f t="shared" ref="B136:B167" si="4">IF(C136="","","[ROW:"&amp;UPPER(TEXT(C136,"MMM"))&amp;"_"&amp;TEXT(C136,"YYYY")&amp;"]")</f>
        <v/>
      </c>
      <c r="C136" s="29" t="str">
        <f>IF(OR(Client_Info!$D$14="",Client_Info!$D$15=""),"",IF(EOMONTH(Client_Info!$D$14,128)&lt;=Client_Info!$D$15,EOMONTH(Client_Info!$D$14,128),""))</f>
        <v/>
      </c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120"/>
      <c r="AI136" s="25"/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  <c r="AT136" s="25"/>
      <c r="AU136" s="25"/>
      <c r="AV136" s="25"/>
      <c r="AW136" s="25"/>
      <c r="AX136" s="25"/>
      <c r="AY136" s="25"/>
      <c r="AZ136" s="25"/>
      <c r="BA136" s="25"/>
      <c r="BB136" s="25"/>
      <c r="BC136" s="25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</row>
    <row r="137" spans="1:200" ht="15" customHeight="1" x14ac:dyDescent="0.2">
      <c r="A137" s="2"/>
      <c r="B137" s="24" t="str">
        <f t="shared" si="4"/>
        <v/>
      </c>
      <c r="C137" s="29" t="str">
        <f>IF(OR(Client_Info!$D$14="",Client_Info!$D$15=""),"",IF(EOMONTH(Client_Info!$D$14,129)&lt;=Client_Info!$D$15,EOMONTH(Client_Info!$D$14,129),""))</f>
        <v/>
      </c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120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  <c r="AY137" s="25"/>
      <c r="AZ137" s="25"/>
      <c r="BA137" s="25"/>
      <c r="BB137" s="25"/>
      <c r="BC137" s="25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</row>
    <row r="138" spans="1:200" ht="15" customHeight="1" x14ac:dyDescent="0.2">
      <c r="A138" s="2"/>
      <c r="B138" s="24" t="str">
        <f t="shared" si="4"/>
        <v/>
      </c>
      <c r="C138" s="29" t="str">
        <f>IF(OR(Client_Info!$D$14="",Client_Info!$D$15=""),"",IF(EOMONTH(Client_Info!$D$14,130)&lt;=Client_Info!$D$15,EOMONTH(Client_Info!$D$14,130),""))</f>
        <v/>
      </c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120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25"/>
      <c r="BC138" s="25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</row>
    <row r="139" spans="1:200" ht="15" customHeight="1" x14ac:dyDescent="0.2">
      <c r="A139" s="2"/>
      <c r="B139" s="24" t="str">
        <f t="shared" si="4"/>
        <v/>
      </c>
      <c r="C139" s="29" t="str">
        <f>IF(OR(Client_Info!$D$14="",Client_Info!$D$15=""),"",IF(EOMONTH(Client_Info!$D$14,131)&lt;=Client_Info!$D$15,EOMONTH(Client_Info!$D$14,131),""))</f>
        <v/>
      </c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120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25"/>
      <c r="BC139" s="25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</row>
    <row r="140" spans="1:200" ht="15" customHeight="1" x14ac:dyDescent="0.2">
      <c r="A140" s="2"/>
      <c r="B140" s="24" t="str">
        <f t="shared" si="4"/>
        <v/>
      </c>
      <c r="C140" s="29" t="str">
        <f>IF(OR(Client_Info!$D$14="",Client_Info!$D$15=""),"",IF(EOMONTH(Client_Info!$D$14,132)&lt;=Client_Info!$D$15,EOMONTH(Client_Info!$D$14,132),""))</f>
        <v/>
      </c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120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</row>
    <row r="141" spans="1:200" ht="15" customHeight="1" x14ac:dyDescent="0.2">
      <c r="A141" s="2"/>
      <c r="B141" s="24" t="str">
        <f t="shared" si="4"/>
        <v/>
      </c>
      <c r="C141" s="29" t="str">
        <f>IF(OR(Client_Info!$D$14="",Client_Info!$D$15=""),"",IF(EOMONTH(Client_Info!$D$14,133)&lt;=Client_Info!$D$15,EOMONTH(Client_Info!$D$14,133),""))</f>
        <v/>
      </c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120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</row>
    <row r="142" spans="1:200" ht="15" customHeight="1" x14ac:dyDescent="0.2">
      <c r="A142" s="2"/>
      <c r="B142" s="24" t="str">
        <f t="shared" si="4"/>
        <v/>
      </c>
      <c r="C142" s="29" t="str">
        <f>IF(OR(Client_Info!$D$14="",Client_Info!$D$15=""),"",IF(EOMONTH(Client_Info!$D$14,134)&lt;=Client_Info!$D$15,EOMONTH(Client_Info!$D$14,134),""))</f>
        <v/>
      </c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120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  <c r="AT142" s="25"/>
      <c r="AU142" s="25"/>
      <c r="AV142" s="25"/>
      <c r="AW142" s="25"/>
      <c r="AX142" s="25"/>
      <c r="AY142" s="25"/>
      <c r="AZ142" s="25"/>
      <c r="BA142" s="25"/>
      <c r="BB142" s="25"/>
      <c r="BC142" s="25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</row>
    <row r="143" spans="1:200" ht="15" customHeight="1" x14ac:dyDescent="0.2">
      <c r="A143" s="2"/>
      <c r="B143" s="24" t="str">
        <f t="shared" si="4"/>
        <v/>
      </c>
      <c r="C143" s="29" t="str">
        <f>IF(OR(Client_Info!$D$14="",Client_Info!$D$15=""),"",IF(EOMONTH(Client_Info!$D$14,135)&lt;=Client_Info!$D$15,EOMONTH(Client_Info!$D$14,135),""))</f>
        <v/>
      </c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120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5"/>
      <c r="AZ143" s="25"/>
      <c r="BA143" s="25"/>
      <c r="BB143" s="25"/>
      <c r="BC143" s="25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</row>
    <row r="144" spans="1:200" ht="15" customHeight="1" x14ac:dyDescent="0.2">
      <c r="A144" s="2"/>
      <c r="B144" s="24" t="str">
        <f t="shared" si="4"/>
        <v/>
      </c>
      <c r="C144" s="29" t="str">
        <f>IF(OR(Client_Info!$D$14="",Client_Info!$D$15=""),"",IF(EOMONTH(Client_Info!$D$14,136)&lt;=Client_Info!$D$15,EOMONTH(Client_Info!$D$14,136),""))</f>
        <v/>
      </c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120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  <c r="BB144" s="25"/>
      <c r="BC144" s="25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</row>
    <row r="145" spans="1:200" ht="15" customHeight="1" x14ac:dyDescent="0.2">
      <c r="A145" s="2"/>
      <c r="B145" s="24" t="str">
        <f t="shared" si="4"/>
        <v/>
      </c>
      <c r="C145" s="29" t="str">
        <f>IF(OR(Client_Info!$D$14="",Client_Info!$D$15=""),"",IF(EOMONTH(Client_Info!$D$14,137)&lt;=Client_Info!$D$15,EOMONTH(Client_Info!$D$14,137),""))</f>
        <v/>
      </c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120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5"/>
      <c r="AX145" s="25"/>
      <c r="AY145" s="25"/>
      <c r="AZ145" s="25"/>
      <c r="BA145" s="25"/>
      <c r="BB145" s="25"/>
      <c r="BC145" s="25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</row>
    <row r="146" spans="1:200" ht="15" customHeight="1" x14ac:dyDescent="0.2">
      <c r="A146" s="2"/>
      <c r="B146" s="24" t="str">
        <f t="shared" si="4"/>
        <v/>
      </c>
      <c r="C146" s="29" t="str">
        <f>IF(OR(Client_Info!$D$14="",Client_Info!$D$15=""),"",IF(EOMONTH(Client_Info!$D$14,138)&lt;=Client_Info!$D$15,EOMONTH(Client_Info!$D$14,138),""))</f>
        <v/>
      </c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120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  <c r="AW146" s="25"/>
      <c r="AX146" s="25"/>
      <c r="AY146" s="25"/>
      <c r="AZ146" s="25"/>
      <c r="BA146" s="25"/>
      <c r="BB146" s="25"/>
      <c r="BC146" s="25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</row>
    <row r="147" spans="1:200" ht="15" customHeight="1" x14ac:dyDescent="0.2">
      <c r="A147" s="2"/>
      <c r="B147" s="24" t="str">
        <f t="shared" si="4"/>
        <v/>
      </c>
      <c r="C147" s="29" t="str">
        <f>IF(OR(Client_Info!$D$14="",Client_Info!$D$15=""),"",IF(EOMONTH(Client_Info!$D$14,139)&lt;=Client_Info!$D$15,EOMONTH(Client_Info!$D$14,139),""))</f>
        <v/>
      </c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120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5"/>
      <c r="AX147" s="25"/>
      <c r="AY147" s="25"/>
      <c r="AZ147" s="25"/>
      <c r="BA147" s="25"/>
      <c r="BB147" s="25"/>
      <c r="BC147" s="25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</row>
    <row r="148" spans="1:200" ht="15" customHeight="1" x14ac:dyDescent="0.2">
      <c r="A148" s="2"/>
      <c r="B148" s="24" t="str">
        <f t="shared" si="4"/>
        <v/>
      </c>
      <c r="C148" s="29" t="str">
        <f>IF(OR(Client_Info!$D$14="",Client_Info!$D$15=""),"",IF(EOMONTH(Client_Info!$D$14,140)&lt;=Client_Info!$D$15,EOMONTH(Client_Info!$D$14,140),""))</f>
        <v/>
      </c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120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</row>
    <row r="149" spans="1:200" ht="15" customHeight="1" x14ac:dyDescent="0.2">
      <c r="A149" s="2"/>
      <c r="B149" s="24" t="str">
        <f t="shared" si="4"/>
        <v/>
      </c>
      <c r="C149" s="29" t="str">
        <f>IF(OR(Client_Info!$D$14="",Client_Info!$D$15=""),"",IF(EOMONTH(Client_Info!$D$14,141)&lt;=Client_Info!$D$15,EOMONTH(Client_Info!$D$14,141),""))</f>
        <v/>
      </c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120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</row>
    <row r="150" spans="1:200" ht="15" customHeight="1" x14ac:dyDescent="0.2">
      <c r="A150" s="2"/>
      <c r="B150" s="24" t="str">
        <f t="shared" si="4"/>
        <v/>
      </c>
      <c r="C150" s="29" t="str">
        <f>IF(OR(Client_Info!$D$14="",Client_Info!$D$15=""),"",IF(EOMONTH(Client_Info!$D$14,142)&lt;=Client_Info!$D$15,EOMONTH(Client_Info!$D$14,142),""))</f>
        <v/>
      </c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120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</row>
    <row r="151" spans="1:200" ht="15" customHeight="1" x14ac:dyDescent="0.2">
      <c r="A151" s="2"/>
      <c r="B151" s="24" t="str">
        <f t="shared" si="4"/>
        <v/>
      </c>
      <c r="C151" s="29" t="str">
        <f>IF(OR(Client_Info!$D$14="",Client_Info!$D$15=""),"",IF(EOMONTH(Client_Info!$D$14,143)&lt;=Client_Info!$D$15,EOMONTH(Client_Info!$D$14,143),""))</f>
        <v/>
      </c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120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</row>
    <row r="152" spans="1:200" ht="15" customHeight="1" x14ac:dyDescent="0.2">
      <c r="A152" s="2"/>
      <c r="B152" s="24" t="str">
        <f t="shared" si="4"/>
        <v/>
      </c>
      <c r="C152" s="29" t="str">
        <f>IF(OR(Client_Info!$D$14="",Client_Info!$D$15=""),"",IF(EOMONTH(Client_Info!$D$14,144)&lt;=Client_Info!$D$15,EOMONTH(Client_Info!$D$14,144),""))</f>
        <v/>
      </c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120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</row>
    <row r="153" spans="1:200" ht="15" customHeight="1" x14ac:dyDescent="0.2">
      <c r="A153" s="2"/>
      <c r="B153" s="24" t="str">
        <f t="shared" si="4"/>
        <v/>
      </c>
      <c r="C153" s="29" t="str">
        <f>IF(OR(Client_Info!$D$14="",Client_Info!$D$15=""),"",IF(EOMONTH(Client_Info!$D$14,145)&lt;=Client_Info!$D$15,EOMONTH(Client_Info!$D$14,145),""))</f>
        <v/>
      </c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120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</row>
    <row r="154" spans="1:200" ht="15" customHeight="1" x14ac:dyDescent="0.2">
      <c r="A154" s="2"/>
      <c r="B154" s="24" t="str">
        <f t="shared" si="4"/>
        <v/>
      </c>
      <c r="C154" s="29" t="str">
        <f>IF(OR(Client_Info!$D$14="",Client_Info!$D$15=""),"",IF(EOMONTH(Client_Info!$D$14,146)&lt;=Client_Info!$D$15,EOMONTH(Client_Info!$D$14,146),""))</f>
        <v/>
      </c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120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</row>
    <row r="155" spans="1:200" ht="15" customHeight="1" x14ac:dyDescent="0.2">
      <c r="A155" s="2"/>
      <c r="B155" s="24" t="str">
        <f t="shared" si="4"/>
        <v/>
      </c>
      <c r="C155" s="29" t="str">
        <f>IF(OR(Client_Info!$D$14="",Client_Info!$D$15=""),"",IF(EOMONTH(Client_Info!$D$14,147)&lt;=Client_Info!$D$15,EOMONTH(Client_Info!$D$14,147),""))</f>
        <v/>
      </c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120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</row>
    <row r="156" spans="1:200" ht="15" customHeight="1" x14ac:dyDescent="0.2">
      <c r="A156" s="2"/>
      <c r="B156" s="24" t="str">
        <f t="shared" si="4"/>
        <v/>
      </c>
      <c r="C156" s="29" t="str">
        <f>IF(OR(Client_Info!$D$14="",Client_Info!$D$15=""),"",IF(EOMONTH(Client_Info!$D$14,148)&lt;=Client_Info!$D$15,EOMONTH(Client_Info!$D$14,148),""))</f>
        <v/>
      </c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120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</row>
    <row r="157" spans="1:200" ht="15" customHeight="1" x14ac:dyDescent="0.2">
      <c r="A157" s="2"/>
      <c r="B157" s="24" t="str">
        <f t="shared" si="4"/>
        <v/>
      </c>
      <c r="C157" s="29" t="str">
        <f>IF(OR(Client_Info!$D$14="",Client_Info!$D$15=""),"",IF(EOMONTH(Client_Info!$D$14,149)&lt;=Client_Info!$D$15,EOMONTH(Client_Info!$D$14,149),""))</f>
        <v/>
      </c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120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</row>
    <row r="158" spans="1:200" ht="15" customHeight="1" x14ac:dyDescent="0.2">
      <c r="A158" s="2"/>
      <c r="B158" s="24" t="str">
        <f t="shared" si="4"/>
        <v/>
      </c>
      <c r="C158" s="29" t="str">
        <f>IF(OR(Client_Info!$D$14="",Client_Info!$D$15=""),"",IF(EOMONTH(Client_Info!$D$14,150)&lt;=Client_Info!$D$15,EOMONTH(Client_Info!$D$14,150),""))</f>
        <v/>
      </c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120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</row>
    <row r="159" spans="1:200" ht="15" customHeight="1" x14ac:dyDescent="0.2">
      <c r="A159" s="2"/>
      <c r="B159" s="24" t="str">
        <f t="shared" si="4"/>
        <v/>
      </c>
      <c r="C159" s="29" t="str">
        <f>IF(OR(Client_Info!$D$14="",Client_Info!$D$15=""),"",IF(EOMONTH(Client_Info!$D$14,151)&lt;=Client_Info!$D$15,EOMONTH(Client_Info!$D$14,151),""))</f>
        <v/>
      </c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120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A159" s="25"/>
      <c r="BB159" s="25"/>
      <c r="BC159" s="25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</row>
    <row r="160" spans="1:200" ht="15" customHeight="1" x14ac:dyDescent="0.2">
      <c r="A160" s="2"/>
      <c r="B160" s="24" t="str">
        <f t="shared" si="4"/>
        <v/>
      </c>
      <c r="C160" s="29" t="str">
        <f>IF(OR(Client_Info!$D$14="",Client_Info!$D$15=""),"",IF(EOMONTH(Client_Info!$D$14,152)&lt;=Client_Info!$D$15,EOMONTH(Client_Info!$D$14,152),""))</f>
        <v/>
      </c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120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</row>
    <row r="161" spans="1:200" ht="15" customHeight="1" x14ac:dyDescent="0.2">
      <c r="A161" s="2"/>
      <c r="B161" s="24" t="str">
        <f t="shared" si="4"/>
        <v/>
      </c>
      <c r="C161" s="29" t="str">
        <f>IF(OR(Client_Info!$D$14="",Client_Info!$D$15=""),"",IF(EOMONTH(Client_Info!$D$14,153)&lt;=Client_Info!$D$15,EOMONTH(Client_Info!$D$14,153),""))</f>
        <v/>
      </c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120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25"/>
      <c r="AY161" s="25"/>
      <c r="AZ161" s="25"/>
      <c r="BA161" s="25"/>
      <c r="BB161" s="25"/>
      <c r="BC161" s="25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</row>
    <row r="162" spans="1:200" ht="15" customHeight="1" x14ac:dyDescent="0.2">
      <c r="A162" s="2"/>
      <c r="B162" s="24" t="str">
        <f t="shared" si="4"/>
        <v/>
      </c>
      <c r="C162" s="29" t="str">
        <f>IF(OR(Client_Info!$D$14="",Client_Info!$D$15=""),"",IF(EOMONTH(Client_Info!$D$14,154)&lt;=Client_Info!$D$15,EOMONTH(Client_Info!$D$14,154),""))</f>
        <v/>
      </c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120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</row>
    <row r="163" spans="1:200" ht="15" customHeight="1" x14ac:dyDescent="0.2">
      <c r="A163" s="2"/>
      <c r="B163" s="24" t="str">
        <f t="shared" si="4"/>
        <v/>
      </c>
      <c r="C163" s="29" t="str">
        <f>IF(OR(Client_Info!$D$14="",Client_Info!$D$15=""),"",IF(EOMONTH(Client_Info!$D$14,155)&lt;=Client_Info!$D$15,EOMONTH(Client_Info!$D$14,155),""))</f>
        <v/>
      </c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120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5"/>
      <c r="BB163" s="25"/>
      <c r="BC163" s="25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</row>
    <row r="164" spans="1:200" ht="15" customHeight="1" x14ac:dyDescent="0.2">
      <c r="A164" s="2"/>
      <c r="B164" s="24" t="str">
        <f t="shared" si="4"/>
        <v/>
      </c>
      <c r="C164" s="29" t="str">
        <f>IF(OR(Client_Info!$D$14="",Client_Info!$D$15=""),"",IF(EOMONTH(Client_Info!$D$14,156)&lt;=Client_Info!$D$15,EOMONTH(Client_Info!$D$14,156),""))</f>
        <v/>
      </c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120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  <c r="BB164" s="25"/>
      <c r="BC164" s="25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</row>
    <row r="165" spans="1:200" ht="15" customHeight="1" x14ac:dyDescent="0.2">
      <c r="A165" s="2"/>
      <c r="B165" s="24" t="str">
        <f t="shared" si="4"/>
        <v/>
      </c>
      <c r="C165" s="29" t="str">
        <f>IF(OR(Client_Info!$D$14="",Client_Info!$D$15=""),"",IF(EOMONTH(Client_Info!$D$14,157)&lt;=Client_Info!$D$15,EOMONTH(Client_Info!$D$14,157),""))</f>
        <v/>
      </c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120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5"/>
      <c r="BB165" s="25"/>
      <c r="BC165" s="25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</row>
    <row r="166" spans="1:200" ht="15" customHeight="1" x14ac:dyDescent="0.2">
      <c r="A166" s="2"/>
      <c r="B166" s="24" t="str">
        <f t="shared" si="4"/>
        <v/>
      </c>
      <c r="C166" s="29" t="str">
        <f>IF(OR(Client_Info!$D$14="",Client_Info!$D$15=""),"",IF(EOMONTH(Client_Info!$D$14,158)&lt;=Client_Info!$D$15,EOMONTH(Client_Info!$D$14,158),""))</f>
        <v/>
      </c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120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5"/>
      <c r="BB166" s="25"/>
      <c r="BC166" s="25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</row>
    <row r="167" spans="1:200" ht="15" customHeight="1" x14ac:dyDescent="0.2">
      <c r="A167" s="2"/>
      <c r="B167" s="24" t="str">
        <f t="shared" si="4"/>
        <v/>
      </c>
      <c r="C167" s="29" t="str">
        <f>IF(OR(Client_Info!$D$14="",Client_Info!$D$15=""),"",IF(EOMONTH(Client_Info!$D$14,159)&lt;=Client_Info!$D$15,EOMONTH(Client_Info!$D$14,159),""))</f>
        <v/>
      </c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120"/>
      <c r="AI167" s="25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5"/>
      <c r="BB167" s="25"/>
      <c r="BC167" s="25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</row>
    <row r="168" spans="1:200" ht="15" customHeight="1" x14ac:dyDescent="0.2">
      <c r="A168" s="2"/>
      <c r="B168" s="24" t="str">
        <f t="shared" ref="B168:B199" si="5">IF(C168="","","[ROW:"&amp;UPPER(TEXT(C168,"MMM"))&amp;"_"&amp;TEXT(C168,"YYYY")&amp;"]")</f>
        <v/>
      </c>
      <c r="C168" s="29" t="str">
        <f>IF(OR(Client_Info!$D$14="",Client_Info!$D$15=""),"",IF(EOMONTH(Client_Info!$D$14,160)&lt;=Client_Info!$D$15,EOMONTH(Client_Info!$D$14,160),""))</f>
        <v/>
      </c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120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5"/>
      <c r="BB168" s="25"/>
      <c r="BC168" s="25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</row>
    <row r="169" spans="1:200" ht="15" customHeight="1" x14ac:dyDescent="0.2">
      <c r="A169" s="2"/>
      <c r="B169" s="24" t="str">
        <f t="shared" si="5"/>
        <v/>
      </c>
      <c r="C169" s="29" t="str">
        <f>IF(OR(Client_Info!$D$14="",Client_Info!$D$15=""),"",IF(EOMONTH(Client_Info!$D$14,161)&lt;=Client_Info!$D$15,EOMONTH(Client_Info!$D$14,161),""))</f>
        <v/>
      </c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120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</row>
    <row r="170" spans="1:200" ht="15" customHeight="1" x14ac:dyDescent="0.2">
      <c r="A170" s="2"/>
      <c r="B170" s="24" t="str">
        <f t="shared" si="5"/>
        <v/>
      </c>
      <c r="C170" s="29" t="str">
        <f>IF(OR(Client_Info!$D$14="",Client_Info!$D$15=""),"",IF(EOMONTH(Client_Info!$D$14,162)&lt;=Client_Info!$D$15,EOMONTH(Client_Info!$D$14,162),""))</f>
        <v/>
      </c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120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</row>
    <row r="171" spans="1:200" ht="15" customHeight="1" x14ac:dyDescent="0.2">
      <c r="A171" s="2"/>
      <c r="B171" s="24" t="str">
        <f t="shared" si="5"/>
        <v/>
      </c>
      <c r="C171" s="29" t="str">
        <f>IF(OR(Client_Info!$D$14="",Client_Info!$D$15=""),"",IF(EOMONTH(Client_Info!$D$14,163)&lt;=Client_Info!$D$15,EOMONTH(Client_Info!$D$14,163),""))</f>
        <v/>
      </c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120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</row>
    <row r="172" spans="1:200" ht="15" customHeight="1" x14ac:dyDescent="0.2">
      <c r="A172" s="2"/>
      <c r="B172" s="24" t="str">
        <f t="shared" si="5"/>
        <v/>
      </c>
      <c r="C172" s="29" t="str">
        <f>IF(OR(Client_Info!$D$14="",Client_Info!$D$15=""),"",IF(EOMONTH(Client_Info!$D$14,164)&lt;=Client_Info!$D$15,EOMONTH(Client_Info!$D$14,164),""))</f>
        <v/>
      </c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120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5"/>
      <c r="BC172" s="25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</row>
    <row r="173" spans="1:200" ht="15" customHeight="1" x14ac:dyDescent="0.2">
      <c r="A173" s="2"/>
      <c r="B173" s="24" t="str">
        <f t="shared" si="5"/>
        <v/>
      </c>
      <c r="C173" s="29" t="str">
        <f>IF(OR(Client_Info!$D$14="",Client_Info!$D$15=""),"",IF(EOMONTH(Client_Info!$D$14,165)&lt;=Client_Info!$D$15,EOMONTH(Client_Info!$D$14,165),""))</f>
        <v/>
      </c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120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5"/>
      <c r="BC173" s="25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</row>
    <row r="174" spans="1:200" ht="15" customHeight="1" x14ac:dyDescent="0.2">
      <c r="A174" s="2"/>
      <c r="B174" s="24" t="str">
        <f t="shared" si="5"/>
        <v/>
      </c>
      <c r="C174" s="29" t="str">
        <f>IF(OR(Client_Info!$D$14="",Client_Info!$D$15=""),"",IF(EOMONTH(Client_Info!$D$14,166)&lt;=Client_Info!$D$15,EOMONTH(Client_Info!$D$14,166),""))</f>
        <v/>
      </c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120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5"/>
      <c r="BC174" s="25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</row>
    <row r="175" spans="1:200" ht="15" customHeight="1" x14ac:dyDescent="0.2">
      <c r="A175" s="2"/>
      <c r="B175" s="24" t="str">
        <f t="shared" si="5"/>
        <v/>
      </c>
      <c r="C175" s="29" t="str">
        <f>IF(OR(Client_Info!$D$14="",Client_Info!$D$15=""),"",IF(EOMONTH(Client_Info!$D$14,167)&lt;=Client_Info!$D$15,EOMONTH(Client_Info!$D$14,167),""))</f>
        <v/>
      </c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120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  <c r="BB175" s="25"/>
      <c r="BC175" s="25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</row>
    <row r="176" spans="1:200" ht="15" customHeight="1" x14ac:dyDescent="0.2">
      <c r="A176" s="2"/>
      <c r="B176" s="24" t="str">
        <f t="shared" si="5"/>
        <v/>
      </c>
      <c r="C176" s="29" t="str">
        <f>IF(OR(Client_Info!$D$14="",Client_Info!$D$15=""),"",IF(EOMONTH(Client_Info!$D$14,168)&lt;=Client_Info!$D$15,EOMONTH(Client_Info!$D$14,168),""))</f>
        <v/>
      </c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120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</row>
    <row r="177" spans="1:200" ht="15" customHeight="1" x14ac:dyDescent="0.2">
      <c r="A177" s="2"/>
      <c r="B177" s="24" t="str">
        <f t="shared" si="5"/>
        <v/>
      </c>
      <c r="C177" s="29" t="str">
        <f>IF(OR(Client_Info!$D$14="",Client_Info!$D$15=""),"",IF(EOMONTH(Client_Info!$D$14,169)&lt;=Client_Info!$D$15,EOMONTH(Client_Info!$D$14,169),""))</f>
        <v/>
      </c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120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5"/>
      <c r="BC177" s="25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</row>
    <row r="178" spans="1:200" ht="15" customHeight="1" x14ac:dyDescent="0.2">
      <c r="A178" s="2"/>
      <c r="B178" s="24" t="str">
        <f t="shared" si="5"/>
        <v/>
      </c>
      <c r="C178" s="29" t="str">
        <f>IF(OR(Client_Info!$D$14="",Client_Info!$D$15=""),"",IF(EOMONTH(Client_Info!$D$14,170)&lt;=Client_Info!$D$15,EOMONTH(Client_Info!$D$14,170),""))</f>
        <v/>
      </c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120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5"/>
      <c r="BC178" s="25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</row>
    <row r="179" spans="1:200" ht="15" customHeight="1" x14ac:dyDescent="0.2">
      <c r="A179" s="2"/>
      <c r="B179" s="24" t="str">
        <f t="shared" si="5"/>
        <v/>
      </c>
      <c r="C179" s="29" t="str">
        <f>IF(OR(Client_Info!$D$14="",Client_Info!$D$15=""),"",IF(EOMONTH(Client_Info!$D$14,171)&lt;=Client_Info!$D$15,EOMONTH(Client_Info!$D$14,171),""))</f>
        <v/>
      </c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120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5"/>
      <c r="BC179" s="25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</row>
    <row r="180" spans="1:200" ht="15" customHeight="1" x14ac:dyDescent="0.2">
      <c r="A180" s="2"/>
      <c r="B180" s="24" t="str">
        <f t="shared" si="5"/>
        <v/>
      </c>
      <c r="C180" s="29" t="str">
        <f>IF(OR(Client_Info!$D$14="",Client_Info!$D$15=""),"",IF(EOMONTH(Client_Info!$D$14,172)&lt;=Client_Info!$D$15,EOMONTH(Client_Info!$D$14,172),""))</f>
        <v/>
      </c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120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</row>
    <row r="181" spans="1:200" ht="15" customHeight="1" x14ac:dyDescent="0.2">
      <c r="A181" s="2"/>
      <c r="B181" s="24" t="str">
        <f t="shared" si="5"/>
        <v/>
      </c>
      <c r="C181" s="29" t="str">
        <f>IF(OR(Client_Info!$D$14="",Client_Info!$D$15=""),"",IF(EOMONTH(Client_Info!$D$14,173)&lt;=Client_Info!$D$15,EOMONTH(Client_Info!$D$14,173),""))</f>
        <v/>
      </c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120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</row>
    <row r="182" spans="1:200" ht="15" customHeight="1" x14ac:dyDescent="0.2">
      <c r="A182" s="2"/>
      <c r="B182" s="24" t="str">
        <f t="shared" si="5"/>
        <v/>
      </c>
      <c r="C182" s="29" t="str">
        <f>IF(OR(Client_Info!$D$14="",Client_Info!$D$15=""),"",IF(EOMONTH(Client_Info!$D$14,174)&lt;=Client_Info!$D$15,EOMONTH(Client_Info!$D$14,174),""))</f>
        <v/>
      </c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120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5"/>
      <c r="AZ182" s="25"/>
      <c r="BA182" s="25"/>
      <c r="BB182" s="25"/>
      <c r="BC182" s="25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</row>
    <row r="183" spans="1:200" ht="15" customHeight="1" x14ac:dyDescent="0.2">
      <c r="A183" s="2"/>
      <c r="B183" s="24" t="str">
        <f t="shared" si="5"/>
        <v/>
      </c>
      <c r="C183" s="29" t="str">
        <f>IF(OR(Client_Info!$D$14="",Client_Info!$D$15=""),"",IF(EOMONTH(Client_Info!$D$14,175)&lt;=Client_Info!$D$15,EOMONTH(Client_Info!$D$14,175),""))</f>
        <v/>
      </c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120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</row>
    <row r="184" spans="1:200" ht="15" customHeight="1" x14ac:dyDescent="0.2">
      <c r="A184" s="2"/>
      <c r="B184" s="24" t="str">
        <f t="shared" si="5"/>
        <v/>
      </c>
      <c r="C184" s="29" t="str">
        <f>IF(OR(Client_Info!$D$14="",Client_Info!$D$15=""),"",IF(EOMONTH(Client_Info!$D$14,176)&lt;=Client_Info!$D$15,EOMONTH(Client_Info!$D$14,176),""))</f>
        <v/>
      </c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120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</row>
    <row r="185" spans="1:200" ht="15" customHeight="1" x14ac:dyDescent="0.2">
      <c r="A185" s="2"/>
      <c r="B185" s="24" t="str">
        <f t="shared" si="5"/>
        <v/>
      </c>
      <c r="C185" s="29" t="str">
        <f>IF(OR(Client_Info!$D$14="",Client_Info!$D$15=""),"",IF(EOMONTH(Client_Info!$D$14,177)&lt;=Client_Info!$D$15,EOMONTH(Client_Info!$D$14,177),""))</f>
        <v/>
      </c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120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5"/>
      <c r="BB185" s="25"/>
      <c r="BC185" s="25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</row>
    <row r="186" spans="1:200" ht="15" customHeight="1" x14ac:dyDescent="0.2">
      <c r="A186" s="2"/>
      <c r="B186" s="24" t="str">
        <f t="shared" si="5"/>
        <v/>
      </c>
      <c r="C186" s="29" t="str">
        <f>IF(OR(Client_Info!$D$14="",Client_Info!$D$15=""),"",IF(EOMONTH(Client_Info!$D$14,178)&lt;=Client_Info!$D$15,EOMONTH(Client_Info!$D$14,178),""))</f>
        <v/>
      </c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120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</row>
    <row r="187" spans="1:200" ht="15" customHeight="1" x14ac:dyDescent="0.2">
      <c r="A187" s="2"/>
      <c r="B187" s="24" t="str">
        <f t="shared" si="5"/>
        <v/>
      </c>
      <c r="C187" s="29" t="str">
        <f>IF(OR(Client_Info!$D$14="",Client_Info!$D$15=""),"",IF(EOMONTH(Client_Info!$D$14,179)&lt;=Client_Info!$D$15,EOMONTH(Client_Info!$D$14,179),""))</f>
        <v/>
      </c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121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5"/>
      <c r="BB187" s="25"/>
      <c r="BC187" s="25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</row>
    <row r="188" spans="1:200" ht="15" customHeight="1" x14ac:dyDescent="0.2">
      <c r="A188" s="3"/>
      <c r="B188" s="3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  <c r="AT188" s="25"/>
      <c r="AU188" s="25"/>
      <c r="AV188" s="25"/>
      <c r="AW188" s="25"/>
      <c r="AX188" s="25"/>
      <c r="AY188" s="25"/>
      <c r="AZ188" s="25"/>
      <c r="BA188" s="25"/>
      <c r="BB188" s="25"/>
      <c r="BC188" s="25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</row>
    <row r="189" spans="1:200" ht="15" customHeight="1" x14ac:dyDescent="0.2">
      <c r="A189" s="3"/>
      <c r="B189" s="3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  <c r="AT189" s="25"/>
      <c r="AU189" s="25"/>
      <c r="AV189" s="25"/>
      <c r="AW189" s="25"/>
      <c r="AX189" s="25"/>
      <c r="AY189" s="25"/>
      <c r="AZ189" s="25"/>
      <c r="BA189" s="25"/>
      <c r="BB189" s="25"/>
      <c r="BC189" s="25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</row>
    <row r="190" spans="1:200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</row>
    <row r="191" spans="1:200" ht="1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</row>
    <row r="192" spans="1:200" ht="1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</row>
    <row r="193" spans="1:200" ht="1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</row>
    <row r="194" spans="1:200" ht="1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</row>
    <row r="195" spans="1:200" ht="1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</row>
    <row r="196" spans="1:200" ht="1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</row>
    <row r="197" spans="1:200" ht="1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</row>
    <row r="198" spans="1:200" ht="1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</row>
    <row r="199" spans="1:200" ht="1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</row>
    <row r="200" spans="1:200" ht="1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</row>
    <row r="201" spans="1:200" ht="1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</row>
    <row r="202" spans="1:200" ht="1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</row>
    <row r="203" spans="1:200" ht="1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</row>
    <row r="204" spans="1:200" ht="1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</row>
    <row r="205" spans="1:200" ht="1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</row>
    <row r="206" spans="1:200" ht="1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</row>
    <row r="207" spans="1:200" ht="1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</row>
    <row r="208" spans="1:200" ht="1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</row>
    <row r="209" spans="1:200" ht="1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</row>
    <row r="210" spans="1:200" ht="1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</row>
    <row r="211" spans="1:200" ht="1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</row>
    <row r="212" spans="1:200" ht="1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</row>
    <row r="213" spans="1:200" ht="1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</row>
    <row r="214" spans="1:200" ht="1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</row>
    <row r="215" spans="1:200" ht="1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</row>
    <row r="216" spans="1:200" ht="1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</row>
    <row r="217" spans="1:200" ht="1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</row>
    <row r="218" spans="1:200" ht="1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</row>
    <row r="219" spans="1:200" ht="1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</row>
    <row r="220" spans="1:200" ht="1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</row>
    <row r="221" spans="1:200" ht="1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</row>
    <row r="222" spans="1:200" ht="1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</row>
    <row r="223" spans="1:200" ht="1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</row>
    <row r="224" spans="1:200" ht="1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</row>
    <row r="225" spans="1:200" ht="1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</row>
    <row r="226" spans="1:200" ht="1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</row>
    <row r="227" spans="1:200" ht="1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</row>
    <row r="228" spans="1:200" ht="1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</row>
    <row r="229" spans="1:200" ht="1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</row>
    <row r="230" spans="1:200" ht="1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</row>
    <row r="231" spans="1:200" ht="1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</row>
    <row r="232" spans="1:200" ht="1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</row>
    <row r="233" spans="1:200" ht="1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</row>
    <row r="234" spans="1:200" ht="1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</row>
    <row r="235" spans="1:200" ht="1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</row>
    <row r="236" spans="1:200" ht="1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</row>
    <row r="237" spans="1:200" ht="1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</row>
    <row r="238" spans="1:200" ht="1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</row>
    <row r="239" spans="1:200" ht="1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</row>
    <row r="240" spans="1:200" ht="1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</row>
    <row r="241" spans="1:200" ht="1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</row>
    <row r="242" spans="1:200" ht="1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</row>
    <row r="243" spans="1:200" ht="1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</row>
    <row r="244" spans="1:200" ht="1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</row>
    <row r="245" spans="1:200" ht="1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</row>
    <row r="246" spans="1:200" ht="1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</row>
    <row r="247" spans="1:200" ht="1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</row>
    <row r="248" spans="1:200" ht="1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</row>
    <row r="249" spans="1:200" ht="1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</row>
    <row r="250" spans="1:200" ht="1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</row>
    <row r="251" spans="1:200" ht="1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</row>
    <row r="252" spans="1:200" ht="1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</row>
    <row r="253" spans="1:200" ht="1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</row>
    <row r="254" spans="1:200" ht="1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</row>
    <row r="255" spans="1:200" ht="1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</row>
    <row r="256" spans="1:200" ht="1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</row>
    <row r="257" spans="1:200" ht="1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</row>
    <row r="258" spans="1:200" ht="1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</row>
    <row r="259" spans="1:200" ht="1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</row>
    <row r="260" spans="1:200" ht="1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</row>
    <row r="261" spans="1:200" ht="1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</row>
    <row r="262" spans="1:200" ht="1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</row>
    <row r="263" spans="1:200" ht="1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</row>
    <row r="264" spans="1:200" ht="1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</row>
    <row r="265" spans="1:200" ht="1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</row>
    <row r="266" spans="1:200" ht="1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</row>
    <row r="267" spans="1:200" ht="1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</row>
    <row r="268" spans="1:200" ht="1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</row>
    <row r="269" spans="1:200" ht="1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</row>
    <row r="270" spans="1:200" ht="1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</row>
    <row r="271" spans="1:200" ht="1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</row>
    <row r="272" spans="1:200" ht="1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</row>
    <row r="273" spans="1:200" ht="1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</row>
    <row r="274" spans="1:200" ht="1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</row>
    <row r="275" spans="1:200" ht="1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</row>
    <row r="276" spans="1:200" ht="1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</row>
    <row r="277" spans="1:200" ht="1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</row>
    <row r="278" spans="1:200" ht="1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</row>
    <row r="279" spans="1:200" ht="1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</row>
    <row r="280" spans="1:200" ht="1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</row>
    <row r="281" spans="1:200" ht="1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</row>
    <row r="282" spans="1:200" ht="1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</row>
    <row r="283" spans="1:200" ht="1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</row>
    <row r="284" spans="1:200" ht="1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</row>
    <row r="285" spans="1:200" ht="1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</row>
    <row r="286" spans="1:200" ht="1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</row>
    <row r="287" spans="1:200" ht="1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</row>
    <row r="288" spans="1:200" ht="1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</row>
    <row r="289" spans="1:200" ht="1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</row>
    <row r="290" spans="1:200" ht="1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</row>
    <row r="291" spans="1:200" ht="1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</row>
    <row r="292" spans="1:200" ht="1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</row>
    <row r="293" spans="1:200" ht="1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</row>
    <row r="294" spans="1:200" ht="1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</row>
    <row r="295" spans="1:200" ht="1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</row>
    <row r="296" spans="1:200" ht="1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</row>
    <row r="297" spans="1:200" ht="1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</row>
    <row r="298" spans="1:200" ht="1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</row>
    <row r="299" spans="1:200" ht="1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</row>
    <row r="300" spans="1:200" ht="1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</row>
    <row r="301" spans="1:200" ht="1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</row>
    <row r="302" spans="1:200" ht="1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</row>
    <row r="303" spans="1:200" ht="1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</row>
    <row r="304" spans="1:200" ht="1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</row>
    <row r="305" spans="1:200" ht="1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</row>
    <row r="306" spans="1:200" ht="1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</row>
    <row r="307" spans="1:200" ht="1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</row>
    <row r="308" spans="1:200" ht="1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</row>
    <row r="309" spans="1:200" ht="1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</row>
    <row r="310" spans="1:200" ht="1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</row>
    <row r="311" spans="1:200" ht="1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</row>
    <row r="312" spans="1:200" ht="1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</row>
    <row r="313" spans="1:200" ht="1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</row>
    <row r="314" spans="1:200" ht="1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</row>
    <row r="315" spans="1:200" ht="1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</row>
    <row r="316" spans="1:200" ht="1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</row>
    <row r="317" spans="1:200" ht="1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</row>
    <row r="318" spans="1:200" ht="1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</row>
    <row r="319" spans="1:200" ht="1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</row>
    <row r="320" spans="1:200" ht="1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</row>
    <row r="321" spans="1:200" ht="1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</row>
    <row r="322" spans="1:200" ht="1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</row>
    <row r="323" spans="1:200" ht="1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</row>
    <row r="324" spans="1:200" ht="1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</row>
    <row r="325" spans="1:200" ht="1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</row>
    <row r="326" spans="1:200" ht="1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</row>
    <row r="327" spans="1:200" ht="1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</row>
    <row r="328" spans="1:200" ht="1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</row>
    <row r="329" spans="1:200" ht="1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</row>
    <row r="330" spans="1:200" ht="1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</row>
    <row r="331" spans="1:200" ht="1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</row>
    <row r="332" spans="1:200" ht="1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</row>
    <row r="333" spans="1:200" ht="1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</row>
    <row r="334" spans="1:200" ht="1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</row>
    <row r="335" spans="1:200" ht="1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</row>
    <row r="336" spans="1:200" ht="1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</row>
    <row r="337" spans="1:200" ht="1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</row>
    <row r="338" spans="1:200" ht="1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</row>
    <row r="339" spans="1:200" ht="1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</row>
    <row r="340" spans="1:200" ht="1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</row>
    <row r="341" spans="1:200" ht="1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</row>
    <row r="342" spans="1:200" ht="1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</row>
    <row r="343" spans="1:200" ht="1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</row>
    <row r="344" spans="1:200" ht="1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</row>
    <row r="345" spans="1:200" ht="1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</row>
    <row r="346" spans="1:200" ht="1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</row>
    <row r="347" spans="1:200" ht="1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</row>
    <row r="348" spans="1:200" ht="1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</row>
    <row r="349" spans="1:200" ht="1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</row>
    <row r="350" spans="1:200" ht="1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</row>
    <row r="351" spans="1:200" ht="1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</row>
    <row r="352" spans="1:200" ht="1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</row>
    <row r="353" spans="1:200" ht="1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</row>
    <row r="354" spans="1:200" ht="1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</row>
    <row r="355" spans="1:200" ht="1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</row>
    <row r="356" spans="1:200" ht="1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</row>
    <row r="357" spans="1:200" ht="1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</row>
    <row r="358" spans="1:200" ht="1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</row>
    <row r="359" spans="1:200" ht="1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</row>
    <row r="360" spans="1:200" ht="1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</row>
    <row r="361" spans="1:200" ht="1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</row>
    <row r="362" spans="1:200" ht="1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</row>
    <row r="363" spans="1:200" ht="1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</row>
    <row r="364" spans="1:200" ht="1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</row>
    <row r="365" spans="1:200" ht="1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</row>
    <row r="366" spans="1:200" ht="1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</row>
    <row r="367" spans="1:200" ht="1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</row>
    <row r="368" spans="1:200" ht="1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</row>
    <row r="369" spans="1:200" ht="1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</row>
    <row r="370" spans="1:200" ht="1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</row>
    <row r="371" spans="1:200" ht="1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</row>
    <row r="372" spans="1:200" ht="1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</row>
    <row r="373" spans="1:200" ht="1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</row>
    <row r="374" spans="1:200" ht="1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</row>
    <row r="375" spans="1:200" ht="1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</row>
    <row r="376" spans="1:200" ht="1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</row>
    <row r="377" spans="1:200" ht="1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</row>
    <row r="378" spans="1:200" ht="1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</row>
    <row r="379" spans="1:200" ht="1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</row>
    <row r="380" spans="1:200" ht="1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</row>
    <row r="381" spans="1:200" ht="1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</row>
    <row r="382" spans="1:200" ht="1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</row>
    <row r="383" spans="1:200" ht="1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</row>
    <row r="384" spans="1:200" ht="1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</row>
    <row r="385" spans="1:200" ht="1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</row>
    <row r="386" spans="1:200" ht="1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</row>
    <row r="387" spans="1:200" ht="1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</row>
    <row r="388" spans="1:200" ht="1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</row>
    <row r="389" spans="1:200" ht="1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</row>
    <row r="390" spans="1:200" ht="1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</row>
    <row r="391" spans="1:200" ht="1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</row>
    <row r="392" spans="1:200" ht="1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</row>
    <row r="393" spans="1:200" ht="1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</row>
    <row r="394" spans="1:200" ht="1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</row>
    <row r="395" spans="1:200" ht="1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</row>
    <row r="396" spans="1:200" ht="1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</row>
    <row r="397" spans="1:200" ht="1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</row>
    <row r="398" spans="1:200" ht="1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</row>
    <row r="399" spans="1:200" ht="1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</row>
    <row r="400" spans="1:200" ht="1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</row>
    <row r="401" spans="1:200" ht="1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</row>
    <row r="402" spans="1:200" ht="1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</row>
    <row r="403" spans="1:200" ht="1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</row>
    <row r="404" spans="1:200" ht="1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</row>
    <row r="405" spans="1:200" ht="1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</row>
    <row r="406" spans="1:200" ht="1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</row>
    <row r="407" spans="1:200" ht="1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</row>
    <row r="408" spans="1:200" ht="1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</row>
    <row r="409" spans="1:200" ht="1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</row>
    <row r="410" spans="1:200" ht="1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</row>
    <row r="411" spans="1:200" ht="1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</row>
    <row r="412" spans="1:200" ht="1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</row>
    <row r="413" spans="1:200" ht="1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</row>
    <row r="414" spans="1:200" ht="1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</row>
    <row r="415" spans="1:200" ht="1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</row>
    <row r="416" spans="1:200" ht="1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</row>
    <row r="417" spans="1:200" ht="1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</row>
    <row r="418" spans="1:200" ht="1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</row>
    <row r="419" spans="1:200" ht="1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</row>
    <row r="420" spans="1:200" ht="1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</row>
    <row r="421" spans="1:200" ht="1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</row>
    <row r="422" spans="1:200" ht="1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</row>
    <row r="423" spans="1:200" ht="1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</row>
    <row r="424" spans="1:200" ht="1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</row>
    <row r="425" spans="1:200" ht="1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</row>
    <row r="426" spans="1:200" ht="1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</row>
    <row r="427" spans="1:200" ht="1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</row>
    <row r="428" spans="1:200" ht="1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</row>
    <row r="429" spans="1:200" ht="1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</row>
    <row r="430" spans="1:200" ht="1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</row>
    <row r="431" spans="1:200" ht="1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</row>
    <row r="432" spans="1:200" ht="1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</row>
    <row r="433" spans="1:200" ht="1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</row>
    <row r="434" spans="1:200" ht="1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</row>
    <row r="435" spans="1:200" ht="1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</row>
    <row r="436" spans="1:200" ht="1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</row>
    <row r="437" spans="1:200" ht="1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</row>
    <row r="438" spans="1:200" ht="1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</row>
    <row r="439" spans="1:200" ht="1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</row>
    <row r="440" spans="1:200" ht="1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</row>
    <row r="441" spans="1:200" ht="1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</row>
    <row r="442" spans="1:200" ht="1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</row>
    <row r="443" spans="1:200" ht="1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</row>
    <row r="444" spans="1:200" ht="1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</row>
    <row r="445" spans="1:200" ht="1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</row>
    <row r="446" spans="1:200" ht="1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</row>
    <row r="447" spans="1:200" ht="1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</row>
    <row r="448" spans="1:200" ht="1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</row>
    <row r="449" spans="1:200" ht="1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</row>
    <row r="450" spans="1:200" ht="1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</row>
    <row r="451" spans="1:200" ht="1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</row>
    <row r="452" spans="1:200" ht="1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</row>
    <row r="453" spans="1:200" ht="1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</row>
    <row r="454" spans="1:200" ht="1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</row>
    <row r="455" spans="1:200" ht="1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</row>
    <row r="456" spans="1:200" ht="1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</row>
    <row r="457" spans="1:200" ht="1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</row>
    <row r="458" spans="1:200" ht="1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</row>
    <row r="459" spans="1:200" ht="1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</row>
    <row r="460" spans="1:200" ht="1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</row>
    <row r="461" spans="1:200" ht="1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</row>
    <row r="462" spans="1:200" ht="1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</row>
    <row r="463" spans="1:200" ht="1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</row>
    <row r="464" spans="1:200" ht="1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</row>
    <row r="465" spans="1:200" ht="1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</row>
    <row r="466" spans="1:200" ht="1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</row>
    <row r="467" spans="1:200" ht="1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</row>
    <row r="468" spans="1:200" ht="1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</row>
    <row r="469" spans="1:200" ht="1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</row>
    <row r="470" spans="1:200" ht="1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</row>
    <row r="471" spans="1:200" ht="1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</row>
    <row r="472" spans="1:200" ht="1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</row>
    <row r="473" spans="1:200" ht="1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</row>
    <row r="474" spans="1:200" ht="1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</row>
    <row r="475" spans="1:200" ht="1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</row>
    <row r="476" spans="1:200" ht="1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</row>
    <row r="477" spans="1:200" ht="1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</row>
    <row r="478" spans="1:200" ht="1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</row>
    <row r="479" spans="1:200" ht="1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</row>
    <row r="480" spans="1:200" ht="1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</row>
    <row r="481" spans="1:200" ht="1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</row>
    <row r="482" spans="1:200" ht="1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</row>
    <row r="483" spans="1:200" ht="1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</row>
    <row r="484" spans="1:200" ht="1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</row>
    <row r="485" spans="1:200" ht="1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</row>
    <row r="486" spans="1:200" ht="1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</row>
    <row r="487" spans="1:200" ht="1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</row>
    <row r="488" spans="1:200" ht="1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</row>
    <row r="489" spans="1:200" ht="1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</row>
    <row r="490" spans="1:200" ht="1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</row>
    <row r="491" spans="1:200" ht="1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</row>
    <row r="492" spans="1:200" ht="1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</row>
    <row r="493" spans="1:200" ht="1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</row>
    <row r="494" spans="1:200" ht="1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</row>
    <row r="495" spans="1:200" ht="1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</row>
    <row r="496" spans="1:200" ht="1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</row>
    <row r="497" spans="1:200" ht="1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</row>
    <row r="498" spans="1:200" ht="1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</row>
    <row r="499" spans="1:200" ht="1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</row>
    <row r="500" spans="1:200" ht="1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</row>
  </sheetData>
  <sheetProtection sheet="1"/>
  <conditionalFormatting sqref="D8:AG186 D187:AH187">
    <cfRule type="expression" dxfId="2" priority="1">
      <formula>AND($C8&lt;&gt;"",D8="",D$5&lt;&gt;"")</formula>
    </cfRule>
  </conditionalFormatting>
  <dataValidations count="1">
    <dataValidation type="decimal" allowBlank="1" errorTitle="Invalid Benchmark Return" error="Return should be a whole number (e.g. 5.0 = 5%). Values outside -100% to 200% are blocked." sqref="D8:D187 E8:E187 F8:F187 G8:G187 H8:H187 I8:I187 J8:J187 K8:K187 L8:L187 M8:M187 N8:N187 O8:O187 P8:P187 Q8:Q187 R8:R187 S8:S187 T8:T187 U8:U187 V8:V187 W8:W187 X8:X187 Y8:Y187 Z8:Z187 AA8:AA187 AB8:AB187 AC8:AC187 AD8:AD187 AE8:AE187 AF8:AF187 AG8:AG187" xr:uid="{00000000-0002-0000-0700-000000000000}">
      <formula1>-100</formula1>
      <formula2>200</formula2>
    </dataValidation>
  </dataValidations>
  <pageMargins left="0.75" right="0.75" top="1" bottom="1" header="0.511811023622047" footer="0.511811023622047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 tint="-0.249977111117893"/>
  </sheetPr>
  <dimension ref="A1:GR512"/>
  <sheetViews>
    <sheetView showGridLines="0" topLeftCell="A50" zoomScale="125" zoomScaleNormal="100" workbookViewId="0">
      <selection activeCell="E149" sqref="E149"/>
    </sheetView>
  </sheetViews>
  <sheetFormatPr baseColWidth="10" defaultColWidth="8.6640625" defaultRowHeight="20" customHeight="1" x14ac:dyDescent="0.2"/>
  <cols>
    <col min="1" max="1" width="2" customWidth="1"/>
    <col min="2" max="2" width="5" hidden="1" customWidth="1"/>
    <col min="3" max="3" width="28" customWidth="1"/>
    <col min="4" max="4" width="14" customWidth="1"/>
    <col min="5" max="5" width="29.6640625" customWidth="1"/>
    <col min="6" max="6" width="23.33203125" customWidth="1"/>
    <col min="7" max="7" width="28" customWidth="1"/>
    <col min="8" max="8" width="10" customWidth="1"/>
    <col min="9" max="9" width="16" customWidth="1"/>
    <col min="10" max="10" width="8.6640625" customWidth="1"/>
  </cols>
  <sheetData>
    <row r="1" spans="1:200" ht="20" customHeight="1" thickBot="1" x14ac:dyDescent="0.25">
      <c r="A1" s="56"/>
      <c r="B1" s="56"/>
      <c r="C1" s="56"/>
      <c r="D1" s="56"/>
      <c r="E1" s="56"/>
      <c r="F1" s="56"/>
      <c r="G1" s="56"/>
      <c r="H1" s="56"/>
      <c r="I1" s="56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</row>
    <row r="2" spans="1:200" ht="20" customHeight="1" thickBot="1" x14ac:dyDescent="0.25">
      <c r="A2" s="56"/>
      <c r="C2" s="86" t="s">
        <v>289</v>
      </c>
      <c r="D2" s="57"/>
      <c r="E2" s="57"/>
      <c r="F2" s="67"/>
      <c r="G2" s="56"/>
      <c r="H2" s="56"/>
      <c r="I2" s="56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</row>
    <row r="3" spans="1:200" ht="20" customHeight="1" x14ac:dyDescent="0.2">
      <c r="A3" s="56"/>
      <c r="B3" s="56"/>
      <c r="C3" s="62" t="s">
        <v>290</v>
      </c>
      <c r="D3" s="56"/>
      <c r="E3" s="56"/>
      <c r="F3" s="56"/>
      <c r="G3" s="56"/>
      <c r="H3" s="56"/>
      <c r="I3" s="56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</row>
    <row r="4" spans="1:200" ht="20" customHeight="1" x14ac:dyDescent="0.2">
      <c r="A4" s="56"/>
      <c r="B4" s="56"/>
      <c r="C4" s="122" t="s">
        <v>291</v>
      </c>
      <c r="D4" s="56"/>
      <c r="E4" s="56"/>
      <c r="F4" s="56"/>
      <c r="G4" s="56"/>
      <c r="H4" s="56"/>
      <c r="I4" s="56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</row>
    <row r="5" spans="1:200" ht="20" customHeight="1" thickBot="1" x14ac:dyDescent="0.25">
      <c r="A5" s="56"/>
      <c r="B5" s="56"/>
      <c r="C5" s="62"/>
      <c r="D5" s="56"/>
      <c r="E5" s="56"/>
      <c r="F5" s="56"/>
      <c r="G5" s="56"/>
      <c r="H5" s="56"/>
      <c r="I5" s="56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</row>
    <row r="6" spans="1:200" ht="20" customHeight="1" thickBot="1" x14ac:dyDescent="0.25">
      <c r="A6" s="56"/>
      <c r="B6" s="66" t="s">
        <v>98</v>
      </c>
      <c r="C6" s="87" t="s">
        <v>292</v>
      </c>
      <c r="D6" s="88"/>
      <c r="E6" s="89"/>
      <c r="F6" s="90"/>
      <c r="G6" s="56"/>
      <c r="H6" s="56"/>
      <c r="I6" s="56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</row>
    <row r="7" spans="1:200" ht="20" customHeight="1" x14ac:dyDescent="0.2">
      <c r="A7" s="56"/>
      <c r="B7" s="63"/>
      <c r="C7" s="111"/>
      <c r="D7" s="64"/>
      <c r="E7" s="56"/>
      <c r="F7" s="112"/>
      <c r="G7" s="56"/>
      <c r="H7" s="56"/>
      <c r="I7" s="56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</row>
    <row r="8" spans="1:200" ht="20" customHeight="1" thickBot="1" x14ac:dyDescent="0.25">
      <c r="A8" s="56"/>
      <c r="B8" s="56"/>
      <c r="C8" s="113" t="s">
        <v>293</v>
      </c>
      <c r="E8" s="56"/>
      <c r="F8" s="114"/>
      <c r="G8" s="56"/>
      <c r="H8" s="56"/>
      <c r="I8" s="56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</row>
    <row r="9" spans="1:200" ht="20" customHeight="1" thickBot="1" x14ac:dyDescent="0.25">
      <c r="A9" s="56"/>
      <c r="B9" s="56"/>
      <c r="C9" s="123" t="s">
        <v>294</v>
      </c>
      <c r="F9" s="115"/>
      <c r="H9" s="56"/>
      <c r="I9" s="56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</row>
    <row r="10" spans="1:200" ht="20" customHeight="1" thickBot="1" x14ac:dyDescent="0.25">
      <c r="A10" s="56"/>
      <c r="B10" s="56"/>
      <c r="C10" s="113" t="s">
        <v>295</v>
      </c>
      <c r="D10" s="56"/>
      <c r="F10" s="115"/>
      <c r="H10" s="56"/>
      <c r="I10" s="56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</row>
    <row r="11" spans="1:200" ht="20" customHeight="1" thickBot="1" x14ac:dyDescent="0.25">
      <c r="A11" s="56"/>
      <c r="B11" s="56"/>
      <c r="C11" s="74" t="s">
        <v>296</v>
      </c>
      <c r="D11" s="124" t="str">
        <f>IF(C11="POLICY","This benchmark drives attribution. Define asset classes, target weights, and benchmarks.","Comparison benchmark. Define components and weights. Asset class column is optional.")</f>
        <v>This benchmark drives attribution. Define asset classes, target weights, and benchmarks.</v>
      </c>
      <c r="F11" s="115"/>
      <c r="H11" s="56"/>
      <c r="I11" s="56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</row>
    <row r="12" spans="1:200" ht="20" customHeight="1" thickBot="1" x14ac:dyDescent="0.25">
      <c r="A12" s="56"/>
      <c r="B12" s="56"/>
      <c r="C12" s="125" t="s">
        <v>297</v>
      </c>
      <c r="D12" s="56"/>
      <c r="E12" s="56"/>
      <c r="F12" s="114"/>
      <c r="G12" s="56"/>
      <c r="H12" s="56"/>
      <c r="I12" s="56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</row>
    <row r="13" spans="1:200" ht="20" customHeight="1" thickBot="1" x14ac:dyDescent="0.25">
      <c r="A13" s="56"/>
      <c r="C13" s="126" t="s">
        <v>298</v>
      </c>
      <c r="D13" s="127" t="s">
        <v>299</v>
      </c>
      <c r="F13" s="115"/>
      <c r="G13" s="56"/>
      <c r="H13" s="56"/>
      <c r="I13" s="56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</row>
    <row r="14" spans="1:200" ht="20" customHeight="1" thickBot="1" x14ac:dyDescent="0.25">
      <c r="A14" s="56"/>
      <c r="B14" s="68"/>
      <c r="C14" s="116"/>
      <c r="D14" s="117"/>
      <c r="E14" s="117"/>
      <c r="F14" s="81"/>
      <c r="G14" s="56"/>
      <c r="H14" s="56"/>
      <c r="I14" s="56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</row>
    <row r="15" spans="1:200" ht="20" customHeight="1" thickBot="1" x14ac:dyDescent="0.25">
      <c r="A15" s="56"/>
      <c r="B15" s="61" t="s">
        <v>139</v>
      </c>
      <c r="C15" s="91" t="s">
        <v>300</v>
      </c>
      <c r="D15" s="92" t="s">
        <v>301</v>
      </c>
      <c r="E15" s="93" t="s">
        <v>302</v>
      </c>
      <c r="F15" s="94" t="s">
        <v>303</v>
      </c>
      <c r="G15" s="56"/>
      <c r="H15" s="56"/>
      <c r="I15" s="56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</row>
    <row r="16" spans="1:200" ht="20" customHeight="1" x14ac:dyDescent="0.2">
      <c r="A16" s="56"/>
      <c r="B16" s="75">
        <v>1</v>
      </c>
      <c r="C16" s="77" t="s">
        <v>147</v>
      </c>
      <c r="D16" s="71">
        <v>0.5</v>
      </c>
      <c r="E16" s="72" t="s">
        <v>304</v>
      </c>
      <c r="F16" s="78" t="s">
        <v>298</v>
      </c>
      <c r="G16" s="56"/>
      <c r="H16" s="56"/>
      <c r="I16" s="56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</row>
    <row r="17" spans="1:200" ht="20" customHeight="1" x14ac:dyDescent="0.2">
      <c r="A17" s="56"/>
      <c r="B17" s="75">
        <v>2</v>
      </c>
      <c r="C17" s="77" t="s">
        <v>163</v>
      </c>
      <c r="D17" s="71">
        <v>0.2</v>
      </c>
      <c r="E17" s="72" t="s">
        <v>166</v>
      </c>
      <c r="F17" s="78" t="s">
        <v>298</v>
      </c>
      <c r="G17" s="56"/>
      <c r="H17" s="56"/>
      <c r="I17" s="56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</row>
    <row r="18" spans="1:200" ht="20" customHeight="1" x14ac:dyDescent="0.2">
      <c r="A18" s="56"/>
      <c r="B18" s="75">
        <v>3</v>
      </c>
      <c r="C18" s="77" t="s">
        <v>180</v>
      </c>
      <c r="D18" s="71">
        <v>0.2</v>
      </c>
      <c r="E18" s="72" t="s">
        <v>305</v>
      </c>
      <c r="F18" s="78" t="s">
        <v>298</v>
      </c>
      <c r="G18" s="56"/>
      <c r="H18" s="56"/>
      <c r="I18" s="56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</row>
    <row r="19" spans="1:200" ht="20" customHeight="1" x14ac:dyDescent="0.2">
      <c r="A19" s="56"/>
      <c r="B19" s="75">
        <v>4</v>
      </c>
      <c r="C19" s="77" t="s">
        <v>191</v>
      </c>
      <c r="D19" s="71">
        <v>0.08</v>
      </c>
      <c r="E19" s="72" t="s">
        <v>194</v>
      </c>
      <c r="F19" s="78" t="s">
        <v>298</v>
      </c>
      <c r="G19" s="56"/>
      <c r="H19" s="56"/>
      <c r="I19" s="56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</row>
    <row r="20" spans="1:200" ht="20" customHeight="1" x14ac:dyDescent="0.2">
      <c r="A20" s="56"/>
      <c r="B20" s="75">
        <v>5</v>
      </c>
      <c r="C20" s="77" t="s">
        <v>197</v>
      </c>
      <c r="D20" s="71">
        <v>0.02</v>
      </c>
      <c r="E20" s="73"/>
      <c r="F20" s="78" t="s">
        <v>306</v>
      </c>
      <c r="G20" s="56"/>
      <c r="H20" s="56"/>
      <c r="I20" s="56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</row>
    <row r="21" spans="1:200" ht="20" customHeight="1" x14ac:dyDescent="0.2">
      <c r="A21" s="56"/>
      <c r="B21" s="75">
        <v>6</v>
      </c>
      <c r="C21" s="79"/>
      <c r="D21" s="73"/>
      <c r="E21" s="73"/>
      <c r="F21" s="80"/>
      <c r="G21" s="56"/>
      <c r="H21" s="56"/>
      <c r="I21" s="56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</row>
    <row r="22" spans="1:200" ht="20" customHeight="1" x14ac:dyDescent="0.2">
      <c r="A22" s="56"/>
      <c r="B22" s="75">
        <v>7</v>
      </c>
      <c r="C22" s="79"/>
      <c r="D22" s="73"/>
      <c r="E22" s="73"/>
      <c r="F22" s="80"/>
      <c r="G22" s="56"/>
      <c r="H22" s="56"/>
      <c r="I22" s="56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</row>
    <row r="23" spans="1:200" ht="20" customHeight="1" x14ac:dyDescent="0.2">
      <c r="A23" s="56"/>
      <c r="B23" s="75">
        <v>8</v>
      </c>
      <c r="C23" s="79"/>
      <c r="D23" s="73"/>
      <c r="E23" s="73"/>
      <c r="F23" s="80"/>
      <c r="G23" s="56"/>
      <c r="H23" s="56"/>
      <c r="I23" s="56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</row>
    <row r="24" spans="1:200" ht="20" customHeight="1" x14ac:dyDescent="0.2">
      <c r="A24" s="56"/>
      <c r="B24" s="75">
        <v>9</v>
      </c>
      <c r="C24" s="79"/>
      <c r="D24" s="73"/>
      <c r="E24" s="73"/>
      <c r="F24" s="80"/>
      <c r="G24" s="56"/>
      <c r="H24" s="56"/>
      <c r="I24" s="56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</row>
    <row r="25" spans="1:200" ht="20" customHeight="1" x14ac:dyDescent="0.2">
      <c r="A25" s="56"/>
      <c r="B25" s="75">
        <v>10</v>
      </c>
      <c r="C25" s="79"/>
      <c r="D25" s="73"/>
      <c r="E25" s="73"/>
      <c r="F25" s="80"/>
      <c r="G25" s="56"/>
      <c r="H25" s="56"/>
      <c r="I25" s="56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</row>
    <row r="26" spans="1:200" ht="20" customHeight="1" x14ac:dyDescent="0.2">
      <c r="A26" s="56"/>
      <c r="B26" s="75">
        <v>11</v>
      </c>
      <c r="C26" s="79"/>
      <c r="D26" s="73"/>
      <c r="E26" s="73"/>
      <c r="F26" s="80"/>
      <c r="G26" s="56"/>
      <c r="H26" s="56"/>
      <c r="I26" s="56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</row>
    <row r="27" spans="1:200" ht="20" customHeight="1" x14ac:dyDescent="0.2">
      <c r="A27" s="56"/>
      <c r="B27" s="75">
        <v>12</v>
      </c>
      <c r="C27" s="79"/>
      <c r="D27" s="73"/>
      <c r="E27" s="73"/>
      <c r="F27" s="80"/>
      <c r="G27" s="56"/>
      <c r="H27" s="56"/>
      <c r="I27" s="56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</row>
    <row r="28" spans="1:200" ht="20" customHeight="1" x14ac:dyDescent="0.2">
      <c r="A28" s="56"/>
      <c r="B28" s="75">
        <v>13</v>
      </c>
      <c r="C28" s="79"/>
      <c r="D28" s="73"/>
      <c r="E28" s="73"/>
      <c r="F28" s="80"/>
      <c r="G28" s="56"/>
      <c r="H28" s="56"/>
      <c r="I28" s="56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</row>
    <row r="29" spans="1:200" ht="20" customHeight="1" x14ac:dyDescent="0.2">
      <c r="A29" s="56"/>
      <c r="B29" s="75">
        <v>14</v>
      </c>
      <c r="C29" s="79"/>
      <c r="D29" s="73"/>
      <c r="E29" s="73"/>
      <c r="F29" s="80"/>
      <c r="G29" s="56"/>
      <c r="H29" s="56"/>
      <c r="I29" s="56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</row>
    <row r="30" spans="1:200" ht="20" customHeight="1" x14ac:dyDescent="0.2">
      <c r="A30" s="56"/>
      <c r="B30" s="75">
        <v>15</v>
      </c>
      <c r="C30" s="79"/>
      <c r="D30" s="73"/>
      <c r="E30" s="73"/>
      <c r="F30" s="80"/>
      <c r="G30" s="56"/>
      <c r="H30" s="56"/>
      <c r="I30" s="56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</row>
    <row r="31" spans="1:200" ht="20" customHeight="1" x14ac:dyDescent="0.2">
      <c r="A31" s="56"/>
      <c r="B31" s="75">
        <v>16</v>
      </c>
      <c r="C31" s="79"/>
      <c r="D31" s="73"/>
      <c r="E31" s="73"/>
      <c r="F31" s="80"/>
      <c r="G31" s="56"/>
      <c r="H31" s="56"/>
      <c r="I31" s="56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</row>
    <row r="32" spans="1:200" ht="20" customHeight="1" x14ac:dyDescent="0.2">
      <c r="A32" s="56"/>
      <c r="B32" s="75">
        <v>17</v>
      </c>
      <c r="C32" s="79"/>
      <c r="D32" s="73"/>
      <c r="E32" s="73"/>
      <c r="F32" s="80"/>
      <c r="G32" s="56"/>
      <c r="H32" s="56"/>
      <c r="I32" s="56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</row>
    <row r="33" spans="1:200" ht="20" customHeight="1" x14ac:dyDescent="0.2">
      <c r="A33" s="56"/>
      <c r="B33" s="75">
        <v>18</v>
      </c>
      <c r="C33" s="79"/>
      <c r="D33" s="73"/>
      <c r="E33" s="73"/>
      <c r="F33" s="80"/>
      <c r="G33" s="56"/>
      <c r="H33" s="56"/>
      <c r="I33" s="56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</row>
    <row r="34" spans="1:200" ht="20" customHeight="1" x14ac:dyDescent="0.2">
      <c r="A34" s="56"/>
      <c r="B34" s="75">
        <v>19</v>
      </c>
      <c r="C34" s="79"/>
      <c r="D34" s="73"/>
      <c r="E34" s="73"/>
      <c r="F34" s="80"/>
      <c r="G34" s="56"/>
      <c r="H34" s="56"/>
      <c r="I34" s="56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</row>
    <row r="35" spans="1:200" ht="20" customHeight="1" thickBot="1" x14ac:dyDescent="0.25">
      <c r="A35" s="56"/>
      <c r="B35" s="75">
        <v>20</v>
      </c>
      <c r="C35" s="79"/>
      <c r="D35" s="76"/>
      <c r="E35" s="73"/>
      <c r="F35" s="80"/>
      <c r="G35" s="56"/>
      <c r="H35" s="56"/>
      <c r="I35" s="56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</row>
    <row r="36" spans="1:200" ht="20" customHeight="1" thickBot="1" x14ac:dyDescent="0.25">
      <c r="A36" s="56"/>
      <c r="B36" s="68"/>
      <c r="C36" s="82" t="s">
        <v>307</v>
      </c>
      <c r="D36" s="83">
        <f>SUM(D16:D35)</f>
        <v>0.99999999999999989</v>
      </c>
      <c r="E36" s="84" t="str">
        <f>IF(AND(D36&gt;=0.95,D36&lt;=1.05),"PASS","FAIL — should be 95–105%")</f>
        <v>PASS</v>
      </c>
      <c r="F36" s="69"/>
      <c r="G36" s="56"/>
      <c r="H36" s="56"/>
      <c r="I36" s="56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</row>
    <row r="37" spans="1:200" ht="20" customHeight="1" x14ac:dyDescent="0.2">
      <c r="A37" s="56"/>
      <c r="B37" s="56"/>
      <c r="C37" s="56"/>
      <c r="D37" s="56"/>
      <c r="E37" s="56"/>
      <c r="F37" s="65"/>
      <c r="G37" s="56"/>
      <c r="H37" s="56"/>
      <c r="I37" s="56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</row>
    <row r="38" spans="1:200" ht="20" customHeight="1" thickBot="1" x14ac:dyDescent="0.25">
      <c r="A38" s="56"/>
      <c r="G38" s="56"/>
      <c r="H38" s="56"/>
      <c r="I38" s="56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</row>
    <row r="39" spans="1:200" ht="20" customHeight="1" thickBot="1" x14ac:dyDescent="0.25">
      <c r="A39" s="56"/>
      <c r="B39" s="85" t="s">
        <v>100</v>
      </c>
      <c r="C39" s="95" t="s">
        <v>308</v>
      </c>
      <c r="D39" s="96"/>
      <c r="E39" s="97"/>
      <c r="F39" s="98"/>
      <c r="G39" s="56"/>
      <c r="H39" s="56"/>
      <c r="I39" s="56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</row>
    <row r="40" spans="1:200" ht="20" customHeight="1" x14ac:dyDescent="0.2">
      <c r="A40" s="56"/>
      <c r="B40" s="63"/>
      <c r="C40" s="111"/>
      <c r="D40" s="64"/>
      <c r="E40" s="56"/>
      <c r="F40" s="112"/>
      <c r="G40" s="56"/>
      <c r="H40" s="56"/>
      <c r="I40" s="56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</row>
    <row r="41" spans="1:200" ht="20" customHeight="1" thickBot="1" x14ac:dyDescent="0.25">
      <c r="A41" s="56"/>
      <c r="B41" s="56"/>
      <c r="C41" s="113" t="s">
        <v>293</v>
      </c>
      <c r="E41" s="56"/>
      <c r="F41" s="114"/>
      <c r="G41" s="56"/>
      <c r="H41" s="56"/>
      <c r="I41" s="56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</row>
    <row r="42" spans="1:200" ht="20" customHeight="1" thickBot="1" x14ac:dyDescent="0.25">
      <c r="A42" s="56"/>
      <c r="B42" s="56"/>
      <c r="C42" s="123"/>
      <c r="F42" s="115"/>
      <c r="G42" s="56"/>
      <c r="H42" s="56"/>
      <c r="I42" s="56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</row>
    <row r="43" spans="1:200" ht="20" customHeight="1" thickBot="1" x14ac:dyDescent="0.25">
      <c r="A43" s="56"/>
      <c r="B43" s="56"/>
      <c r="C43" s="113" t="s">
        <v>295</v>
      </c>
      <c r="D43" s="56"/>
      <c r="F43" s="115"/>
      <c r="G43" s="56"/>
      <c r="H43" s="56"/>
      <c r="I43" s="56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</row>
    <row r="44" spans="1:200" ht="20" customHeight="1" thickBot="1" x14ac:dyDescent="0.25">
      <c r="A44" s="56"/>
      <c r="B44" s="56"/>
      <c r="C44" s="74" t="s">
        <v>309</v>
      </c>
      <c r="D44" s="70" t="str">
        <f>IF(C44="POLICY","This benchmark drives attribution. Define asset classes, target weights, and benchmarks.","Comparison benchmark. Define components and weights. Asset class column is optional.")</f>
        <v>Comparison benchmark. Define components and weights. Asset class column is optional.</v>
      </c>
      <c r="F44" s="115"/>
      <c r="G44" s="56"/>
      <c r="H44" s="56"/>
      <c r="I44" s="56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</row>
    <row r="45" spans="1:200" ht="20" customHeight="1" thickBot="1" x14ac:dyDescent="0.25">
      <c r="A45" s="56"/>
      <c r="B45" s="56"/>
      <c r="C45" s="125" t="s">
        <v>297</v>
      </c>
      <c r="D45" s="56"/>
      <c r="E45" s="56"/>
      <c r="F45" s="114"/>
      <c r="G45" s="56"/>
      <c r="H45" s="56"/>
      <c r="I45" s="56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</row>
    <row r="46" spans="1:200" ht="20" customHeight="1" thickBot="1" x14ac:dyDescent="0.25">
      <c r="A46" s="56"/>
      <c r="C46" s="126" t="s">
        <v>298</v>
      </c>
      <c r="D46" s="127" t="s">
        <v>299</v>
      </c>
      <c r="F46" s="115"/>
      <c r="G46" s="56"/>
      <c r="H46" s="56"/>
      <c r="I46" s="56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</row>
    <row r="47" spans="1:200" ht="20" customHeight="1" thickBot="1" x14ac:dyDescent="0.25">
      <c r="A47" s="56"/>
      <c r="B47" s="68"/>
      <c r="C47" s="116"/>
      <c r="D47" s="117"/>
      <c r="E47" s="117"/>
      <c r="F47" s="81"/>
      <c r="G47" s="56"/>
      <c r="H47" s="56"/>
      <c r="I47" s="56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</row>
    <row r="48" spans="1:200" ht="20" customHeight="1" thickBot="1" x14ac:dyDescent="0.25">
      <c r="A48" s="56"/>
      <c r="B48" s="61" t="s">
        <v>139</v>
      </c>
      <c r="C48" s="99" t="s">
        <v>300</v>
      </c>
      <c r="D48" s="100" t="s">
        <v>301</v>
      </c>
      <c r="E48" s="101" t="s">
        <v>302</v>
      </c>
      <c r="F48" s="102" t="s">
        <v>303</v>
      </c>
      <c r="G48" s="56"/>
      <c r="H48" s="56"/>
      <c r="I48" s="56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</row>
    <row r="49" spans="1:200" ht="20" customHeight="1" x14ac:dyDescent="0.2">
      <c r="A49" s="56"/>
      <c r="B49" s="75">
        <v>1</v>
      </c>
      <c r="C49" s="77"/>
      <c r="D49" s="71">
        <v>0.7</v>
      </c>
      <c r="E49" s="72" t="s">
        <v>304</v>
      </c>
      <c r="F49" s="78"/>
      <c r="G49" s="56"/>
      <c r="H49" s="56"/>
      <c r="I49" s="56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</row>
    <row r="50" spans="1:200" ht="20" customHeight="1" x14ac:dyDescent="0.2">
      <c r="A50" s="56"/>
      <c r="B50" s="75">
        <v>2</v>
      </c>
      <c r="C50" s="77"/>
      <c r="D50" s="71">
        <v>0.3</v>
      </c>
      <c r="E50" s="72" t="s">
        <v>194</v>
      </c>
      <c r="F50" s="78"/>
      <c r="G50" s="56"/>
      <c r="H50" s="56"/>
      <c r="I50" s="56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</row>
    <row r="51" spans="1:200" ht="20" customHeight="1" x14ac:dyDescent="0.2">
      <c r="A51" s="56"/>
      <c r="B51" s="75">
        <v>3</v>
      </c>
      <c r="C51" s="77"/>
      <c r="D51" s="71"/>
      <c r="E51" s="72"/>
      <c r="F51" s="78"/>
      <c r="G51" s="56"/>
      <c r="H51" s="56"/>
      <c r="I51" s="56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</row>
    <row r="52" spans="1:200" ht="20" customHeight="1" x14ac:dyDescent="0.2">
      <c r="A52" s="56"/>
      <c r="B52" s="75">
        <v>4</v>
      </c>
      <c r="C52" s="77"/>
      <c r="D52" s="71"/>
      <c r="E52" s="72"/>
      <c r="F52" s="78"/>
      <c r="G52" s="56"/>
      <c r="H52" s="56"/>
      <c r="I52" s="56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</row>
    <row r="53" spans="1:200" ht="20" customHeight="1" x14ac:dyDescent="0.2">
      <c r="A53" s="56"/>
      <c r="B53" s="75">
        <v>5</v>
      </c>
      <c r="C53" s="77"/>
      <c r="D53" s="71"/>
      <c r="E53" s="73"/>
      <c r="F53" s="78"/>
      <c r="G53" s="56"/>
      <c r="H53" s="56"/>
      <c r="I53" s="56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</row>
    <row r="54" spans="1:200" ht="20" customHeight="1" x14ac:dyDescent="0.2">
      <c r="A54" s="56"/>
      <c r="B54" s="75">
        <v>6</v>
      </c>
      <c r="C54" s="79"/>
      <c r="D54" s="73"/>
      <c r="E54" s="73"/>
      <c r="F54" s="80"/>
      <c r="G54" s="56"/>
      <c r="H54" s="56"/>
      <c r="I54" s="56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</row>
    <row r="55" spans="1:200" ht="20" customHeight="1" x14ac:dyDescent="0.2">
      <c r="A55" s="56"/>
      <c r="B55" s="75">
        <v>7</v>
      </c>
      <c r="C55" s="79"/>
      <c r="D55" s="73"/>
      <c r="E55" s="73"/>
      <c r="F55" s="80"/>
      <c r="G55" s="56"/>
      <c r="H55" s="56"/>
      <c r="I55" s="56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</row>
    <row r="56" spans="1:200" ht="20" customHeight="1" x14ac:dyDescent="0.2">
      <c r="A56" s="56"/>
      <c r="B56" s="75">
        <v>8</v>
      </c>
      <c r="C56" s="79"/>
      <c r="D56" s="73"/>
      <c r="E56" s="73"/>
      <c r="F56" s="80"/>
      <c r="G56" s="56"/>
      <c r="H56" s="56"/>
      <c r="I56" s="56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</row>
    <row r="57" spans="1:200" ht="20" customHeight="1" x14ac:dyDescent="0.2">
      <c r="A57" s="56"/>
      <c r="B57" s="75">
        <v>9</v>
      </c>
      <c r="C57" s="79"/>
      <c r="D57" s="73"/>
      <c r="E57" s="73"/>
      <c r="F57" s="80"/>
      <c r="G57" s="56"/>
      <c r="H57" s="56"/>
      <c r="I57" s="56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</row>
    <row r="58" spans="1:200" ht="20" customHeight="1" x14ac:dyDescent="0.2">
      <c r="A58" s="56"/>
      <c r="B58" s="75">
        <v>10</v>
      </c>
      <c r="C58" s="79"/>
      <c r="D58" s="73"/>
      <c r="E58" s="73"/>
      <c r="F58" s="80"/>
      <c r="G58" s="56"/>
      <c r="H58" s="56"/>
      <c r="I58" s="56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</row>
    <row r="59" spans="1:200" ht="20" customHeight="1" x14ac:dyDescent="0.2">
      <c r="A59" s="56"/>
      <c r="B59" s="75">
        <v>11</v>
      </c>
      <c r="C59" s="79"/>
      <c r="D59" s="73"/>
      <c r="E59" s="73"/>
      <c r="F59" s="80"/>
      <c r="G59" s="56"/>
      <c r="H59" s="56"/>
      <c r="I59" s="56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</row>
    <row r="60" spans="1:200" ht="20" customHeight="1" x14ac:dyDescent="0.2">
      <c r="A60" s="56"/>
      <c r="B60" s="75">
        <v>12</v>
      </c>
      <c r="C60" s="79"/>
      <c r="D60" s="73"/>
      <c r="E60" s="73"/>
      <c r="F60" s="80"/>
      <c r="G60" s="56"/>
      <c r="H60" s="56"/>
      <c r="I60" s="56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</row>
    <row r="61" spans="1:200" ht="20" customHeight="1" x14ac:dyDescent="0.2">
      <c r="A61" s="56"/>
      <c r="B61" s="75">
        <v>13</v>
      </c>
      <c r="C61" s="79"/>
      <c r="D61" s="73"/>
      <c r="E61" s="73"/>
      <c r="F61" s="80"/>
      <c r="G61" s="56"/>
      <c r="H61" s="56"/>
      <c r="I61" s="56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</row>
    <row r="62" spans="1:200" ht="20" customHeight="1" x14ac:dyDescent="0.2">
      <c r="A62" s="56"/>
      <c r="B62" s="75">
        <v>14</v>
      </c>
      <c r="C62" s="79"/>
      <c r="D62" s="73"/>
      <c r="E62" s="73"/>
      <c r="F62" s="80"/>
      <c r="G62" s="56"/>
      <c r="H62" s="56"/>
      <c r="I62" s="56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</row>
    <row r="63" spans="1:200" ht="20" customHeight="1" x14ac:dyDescent="0.2">
      <c r="A63" s="56"/>
      <c r="B63" s="75">
        <v>15</v>
      </c>
      <c r="C63" s="79"/>
      <c r="D63" s="73"/>
      <c r="E63" s="73"/>
      <c r="F63" s="80"/>
      <c r="G63" s="56"/>
      <c r="H63" s="56"/>
      <c r="I63" s="56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</row>
    <row r="64" spans="1:200" ht="20" customHeight="1" x14ac:dyDescent="0.2">
      <c r="A64" s="56"/>
      <c r="B64" s="75">
        <v>16</v>
      </c>
      <c r="C64" s="79"/>
      <c r="D64" s="73"/>
      <c r="E64" s="73"/>
      <c r="F64" s="80"/>
      <c r="G64" s="56"/>
      <c r="H64" s="56"/>
      <c r="I64" s="56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</row>
    <row r="65" spans="1:200" ht="20" customHeight="1" x14ac:dyDescent="0.2">
      <c r="A65" s="56"/>
      <c r="B65" s="75">
        <v>17</v>
      </c>
      <c r="C65" s="79"/>
      <c r="D65" s="73"/>
      <c r="E65" s="73"/>
      <c r="F65" s="80"/>
      <c r="G65" s="56"/>
      <c r="H65" s="56"/>
      <c r="I65" s="56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</row>
    <row r="66" spans="1:200" ht="20" customHeight="1" x14ac:dyDescent="0.2">
      <c r="A66" s="56"/>
      <c r="B66" s="75">
        <v>18</v>
      </c>
      <c r="C66" s="79"/>
      <c r="D66" s="73"/>
      <c r="E66" s="73"/>
      <c r="F66" s="80"/>
      <c r="G66" s="56"/>
      <c r="H66" s="56"/>
      <c r="I66" s="56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</row>
    <row r="67" spans="1:200" ht="20" customHeight="1" x14ac:dyDescent="0.2">
      <c r="A67" s="56"/>
      <c r="B67" s="75">
        <v>19</v>
      </c>
      <c r="C67" s="79"/>
      <c r="D67" s="73"/>
      <c r="E67" s="73"/>
      <c r="F67" s="80"/>
      <c r="G67" s="56"/>
      <c r="H67" s="56"/>
      <c r="I67" s="56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</row>
    <row r="68" spans="1:200" ht="20" customHeight="1" thickBot="1" x14ac:dyDescent="0.25">
      <c r="A68" s="56"/>
      <c r="B68" s="75">
        <v>20</v>
      </c>
      <c r="C68" s="79"/>
      <c r="D68" s="76"/>
      <c r="E68" s="73"/>
      <c r="F68" s="80"/>
      <c r="G68" s="56"/>
      <c r="H68" s="56"/>
      <c r="I68" s="56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</row>
    <row r="69" spans="1:200" ht="20" customHeight="1" thickBot="1" x14ac:dyDescent="0.25">
      <c r="A69" s="56"/>
      <c r="B69" s="68"/>
      <c r="C69" s="82" t="s">
        <v>307</v>
      </c>
      <c r="D69" s="83">
        <f>SUM(D49:D68)</f>
        <v>1</v>
      </c>
      <c r="E69" s="84" t="str">
        <f>IF(AND(D69&gt;=0.95,D69&lt;=1.05),"PASS","FAIL — should be 95–105%")</f>
        <v>PASS</v>
      </c>
      <c r="F69" s="69"/>
      <c r="G69" s="56"/>
      <c r="H69" s="56"/>
      <c r="I69" s="56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</row>
    <row r="70" spans="1:200" ht="20" customHeight="1" x14ac:dyDescent="0.2">
      <c r="A70" s="56"/>
      <c r="G70" s="56"/>
      <c r="H70" s="56"/>
      <c r="I70" s="56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</row>
    <row r="71" spans="1:200" ht="20" customHeight="1" thickBot="1" x14ac:dyDescent="0.25">
      <c r="A71" s="56"/>
      <c r="G71" s="56"/>
      <c r="H71" s="56"/>
      <c r="I71" s="56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</row>
    <row r="72" spans="1:200" ht="20" customHeight="1" thickBot="1" x14ac:dyDescent="0.25">
      <c r="A72" s="56"/>
      <c r="B72" s="85" t="s">
        <v>102</v>
      </c>
      <c r="C72" s="103" t="s">
        <v>310</v>
      </c>
      <c r="D72" s="104"/>
      <c r="E72" s="105"/>
      <c r="F72" s="106"/>
      <c r="G72" s="56"/>
      <c r="H72" s="56"/>
      <c r="I72" s="56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</row>
    <row r="73" spans="1:200" ht="20" customHeight="1" x14ac:dyDescent="0.2">
      <c r="A73" s="56"/>
      <c r="B73" s="63"/>
      <c r="C73" s="111"/>
      <c r="D73" s="64"/>
      <c r="E73" s="56"/>
      <c r="F73" s="112"/>
      <c r="G73" s="56"/>
      <c r="H73" s="56"/>
      <c r="I73" s="56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</row>
    <row r="74" spans="1:200" ht="20" customHeight="1" thickBot="1" x14ac:dyDescent="0.25">
      <c r="A74" s="56"/>
      <c r="B74" s="56"/>
      <c r="C74" s="113" t="s">
        <v>293</v>
      </c>
      <c r="E74" s="56"/>
      <c r="F74" s="114"/>
      <c r="G74" s="56"/>
      <c r="H74" s="56"/>
      <c r="I74" s="56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</row>
    <row r="75" spans="1:200" ht="20" customHeight="1" thickBot="1" x14ac:dyDescent="0.25">
      <c r="A75" s="56"/>
      <c r="B75" s="56"/>
      <c r="C75" s="123"/>
      <c r="F75" s="115"/>
      <c r="G75" s="56"/>
      <c r="H75" s="56"/>
      <c r="I75" s="56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</row>
    <row r="76" spans="1:200" ht="20" customHeight="1" thickBot="1" x14ac:dyDescent="0.25">
      <c r="A76" s="56"/>
      <c r="B76" s="56"/>
      <c r="C76" s="113" t="s">
        <v>295</v>
      </c>
      <c r="D76" s="56"/>
      <c r="F76" s="115"/>
      <c r="G76" s="56"/>
      <c r="H76" s="56"/>
      <c r="I76" s="56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</row>
    <row r="77" spans="1:200" ht="20" customHeight="1" thickBot="1" x14ac:dyDescent="0.25">
      <c r="A77" s="56"/>
      <c r="B77" s="56"/>
      <c r="C77" s="74" t="s">
        <v>309</v>
      </c>
      <c r="D77" s="70" t="str">
        <f>IF(C77="POLICY","This benchmark drives attribution. Define asset classes, target weights, and benchmarks.","Comparison benchmark. Define components and weights. Asset class column is optional.")</f>
        <v>Comparison benchmark. Define components and weights. Asset class column is optional.</v>
      </c>
      <c r="F77" s="115"/>
      <c r="G77" s="56"/>
      <c r="H77" s="56"/>
      <c r="I77" s="56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</row>
    <row r="78" spans="1:200" ht="20" customHeight="1" thickBot="1" x14ac:dyDescent="0.25">
      <c r="A78" s="56"/>
      <c r="B78" s="56"/>
      <c r="C78" s="125" t="s">
        <v>297</v>
      </c>
      <c r="D78" s="56"/>
      <c r="E78" s="56"/>
      <c r="F78" s="114"/>
      <c r="G78" s="56"/>
      <c r="H78" s="56"/>
      <c r="I78" s="56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</row>
    <row r="79" spans="1:200" ht="20" customHeight="1" thickBot="1" x14ac:dyDescent="0.25">
      <c r="A79" s="56"/>
      <c r="C79" s="126" t="s">
        <v>298</v>
      </c>
      <c r="D79" s="127" t="s">
        <v>299</v>
      </c>
      <c r="F79" s="115"/>
      <c r="G79" s="56"/>
      <c r="H79" s="56"/>
      <c r="I79" s="56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</row>
    <row r="80" spans="1:200" ht="20" customHeight="1" thickBot="1" x14ac:dyDescent="0.25">
      <c r="A80" s="56"/>
      <c r="B80" s="68"/>
      <c r="C80" s="116"/>
      <c r="D80" s="117"/>
      <c r="E80" s="117"/>
      <c r="F80" s="81"/>
      <c r="G80" s="56"/>
      <c r="H80" s="56"/>
      <c r="I80" s="56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</row>
    <row r="81" spans="1:200" ht="20" customHeight="1" thickBot="1" x14ac:dyDescent="0.25">
      <c r="A81" s="56"/>
      <c r="B81" s="61" t="s">
        <v>139</v>
      </c>
      <c r="C81" s="107" t="s">
        <v>300</v>
      </c>
      <c r="D81" s="108" t="s">
        <v>301</v>
      </c>
      <c r="E81" s="109" t="s">
        <v>302</v>
      </c>
      <c r="F81" s="110" t="s">
        <v>303</v>
      </c>
      <c r="G81" s="56"/>
      <c r="H81" s="56"/>
      <c r="I81" s="56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</row>
    <row r="82" spans="1:200" ht="20" customHeight="1" x14ac:dyDescent="0.2">
      <c r="A82" s="56"/>
      <c r="B82" s="75">
        <v>1</v>
      </c>
      <c r="C82" s="77"/>
      <c r="D82" s="71"/>
      <c r="E82" s="72"/>
      <c r="F82" s="78"/>
      <c r="G82" s="56"/>
      <c r="H82" s="56"/>
      <c r="I82" s="56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</row>
    <row r="83" spans="1:200" ht="20" customHeight="1" x14ac:dyDescent="0.2">
      <c r="A83" s="56"/>
      <c r="B83" s="75">
        <v>2</v>
      </c>
      <c r="C83" s="77"/>
      <c r="D83" s="71"/>
      <c r="E83" s="72"/>
      <c r="F83" s="78"/>
      <c r="G83" s="56"/>
      <c r="H83" s="56"/>
      <c r="I83" s="56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</row>
    <row r="84" spans="1:200" ht="20" customHeight="1" x14ac:dyDescent="0.2">
      <c r="A84" s="56"/>
      <c r="B84" s="75">
        <v>3</v>
      </c>
      <c r="C84" s="77"/>
      <c r="D84" s="71"/>
      <c r="E84" s="72"/>
      <c r="F84" s="78"/>
      <c r="G84" s="56"/>
      <c r="H84" s="56"/>
      <c r="I84" s="56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</row>
    <row r="85" spans="1:200" ht="20" customHeight="1" x14ac:dyDescent="0.2">
      <c r="A85" s="56"/>
      <c r="B85" s="75">
        <v>4</v>
      </c>
      <c r="C85" s="77"/>
      <c r="D85" s="71"/>
      <c r="E85" s="72"/>
      <c r="F85" s="78"/>
      <c r="G85" s="56"/>
      <c r="H85" s="56"/>
      <c r="I85" s="56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</row>
    <row r="86" spans="1:200" ht="20" customHeight="1" x14ac:dyDescent="0.2">
      <c r="A86" s="56"/>
      <c r="B86" s="75">
        <v>5</v>
      </c>
      <c r="C86" s="77"/>
      <c r="D86" s="71"/>
      <c r="E86" s="73"/>
      <c r="F86" s="78"/>
      <c r="G86" s="56"/>
      <c r="H86" s="56"/>
      <c r="I86" s="56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</row>
    <row r="87" spans="1:200" ht="20" customHeight="1" x14ac:dyDescent="0.2">
      <c r="A87" s="56"/>
      <c r="B87" s="75">
        <v>6</v>
      </c>
      <c r="C87" s="79"/>
      <c r="D87" s="73"/>
      <c r="E87" s="73"/>
      <c r="F87" s="80"/>
      <c r="G87" s="56"/>
      <c r="H87" s="56"/>
      <c r="I87" s="56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</row>
    <row r="88" spans="1:200" ht="20" customHeight="1" x14ac:dyDescent="0.2">
      <c r="A88" s="56"/>
      <c r="B88" s="75">
        <v>7</v>
      </c>
      <c r="C88" s="79"/>
      <c r="D88" s="73"/>
      <c r="E88" s="73"/>
      <c r="F88" s="80"/>
      <c r="G88" s="56"/>
      <c r="H88" s="56"/>
      <c r="I88" s="56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</row>
    <row r="89" spans="1:200" ht="20" customHeight="1" x14ac:dyDescent="0.2">
      <c r="A89" s="56"/>
      <c r="B89" s="75">
        <v>8</v>
      </c>
      <c r="C89" s="79"/>
      <c r="D89" s="73"/>
      <c r="E89" s="73"/>
      <c r="F89" s="80"/>
      <c r="G89" s="56"/>
      <c r="H89" s="56"/>
      <c r="I89" s="56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</row>
    <row r="90" spans="1:200" ht="20" customHeight="1" x14ac:dyDescent="0.2">
      <c r="A90" s="56"/>
      <c r="B90" s="75">
        <v>9</v>
      </c>
      <c r="C90" s="79"/>
      <c r="D90" s="73"/>
      <c r="E90" s="73"/>
      <c r="F90" s="80"/>
      <c r="G90" s="56"/>
      <c r="H90" s="56"/>
      <c r="I90" s="56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</row>
    <row r="91" spans="1:200" ht="20" customHeight="1" x14ac:dyDescent="0.2">
      <c r="A91" s="56"/>
      <c r="B91" s="75">
        <v>10</v>
      </c>
      <c r="C91" s="79"/>
      <c r="D91" s="73"/>
      <c r="E91" s="73"/>
      <c r="F91" s="80"/>
      <c r="G91" s="56"/>
      <c r="H91" s="56"/>
      <c r="I91" s="56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</row>
    <row r="92" spans="1:200" ht="20" customHeight="1" x14ac:dyDescent="0.2">
      <c r="A92" s="56"/>
      <c r="B92" s="75">
        <v>11</v>
      </c>
      <c r="C92" s="79"/>
      <c r="D92" s="73"/>
      <c r="E92" s="73"/>
      <c r="F92" s="80"/>
      <c r="G92" s="56"/>
      <c r="H92" s="56"/>
      <c r="I92" s="56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</row>
    <row r="93" spans="1:200" ht="20" customHeight="1" x14ac:dyDescent="0.2">
      <c r="A93" s="56"/>
      <c r="B93" s="75">
        <v>12</v>
      </c>
      <c r="C93" s="79"/>
      <c r="D93" s="73"/>
      <c r="E93" s="73"/>
      <c r="F93" s="80"/>
      <c r="G93" s="56"/>
      <c r="H93" s="56"/>
      <c r="I93" s="56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</row>
    <row r="94" spans="1:200" ht="20" customHeight="1" x14ac:dyDescent="0.2">
      <c r="A94" s="56"/>
      <c r="B94" s="75">
        <v>13</v>
      </c>
      <c r="C94" s="79"/>
      <c r="D94" s="73"/>
      <c r="E94" s="73"/>
      <c r="F94" s="80"/>
      <c r="G94" s="56"/>
      <c r="H94" s="56"/>
      <c r="I94" s="56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</row>
    <row r="95" spans="1:200" ht="20" customHeight="1" x14ac:dyDescent="0.2">
      <c r="A95" s="56"/>
      <c r="B95" s="75">
        <v>14</v>
      </c>
      <c r="C95" s="79"/>
      <c r="D95" s="73"/>
      <c r="E95" s="73"/>
      <c r="F95" s="80"/>
      <c r="G95" s="56"/>
      <c r="H95" s="56"/>
      <c r="I95" s="56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</row>
    <row r="96" spans="1:200" ht="20" customHeight="1" x14ac:dyDescent="0.2">
      <c r="A96" s="56"/>
      <c r="B96" s="75">
        <v>15</v>
      </c>
      <c r="C96" s="79"/>
      <c r="D96" s="73"/>
      <c r="E96" s="73"/>
      <c r="F96" s="80"/>
      <c r="G96" s="56"/>
      <c r="H96" s="56"/>
      <c r="I96" s="56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</row>
    <row r="97" spans="1:200" ht="20" customHeight="1" x14ac:dyDescent="0.2">
      <c r="A97" s="56"/>
      <c r="B97" s="75">
        <v>16</v>
      </c>
      <c r="C97" s="79"/>
      <c r="D97" s="73"/>
      <c r="E97" s="73"/>
      <c r="F97" s="80"/>
      <c r="G97" s="56"/>
      <c r="H97" s="56"/>
      <c r="I97" s="56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</row>
    <row r="98" spans="1:200" ht="20" customHeight="1" x14ac:dyDescent="0.2">
      <c r="A98" s="56"/>
      <c r="B98" s="75">
        <v>17</v>
      </c>
      <c r="C98" s="79"/>
      <c r="D98" s="73"/>
      <c r="E98" s="73"/>
      <c r="F98" s="80"/>
      <c r="G98" s="56"/>
      <c r="H98" s="56"/>
      <c r="I98" s="56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</row>
    <row r="99" spans="1:200" ht="20" customHeight="1" x14ac:dyDescent="0.2">
      <c r="A99" s="56"/>
      <c r="B99" s="75">
        <v>18</v>
      </c>
      <c r="C99" s="79"/>
      <c r="D99" s="73"/>
      <c r="E99" s="73"/>
      <c r="F99" s="80"/>
      <c r="G99" s="56"/>
      <c r="H99" s="56"/>
      <c r="I99" s="56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</row>
    <row r="100" spans="1:200" ht="20" customHeight="1" x14ac:dyDescent="0.2">
      <c r="A100" s="56"/>
      <c r="B100" s="75">
        <v>19</v>
      </c>
      <c r="C100" s="79"/>
      <c r="D100" s="73"/>
      <c r="E100" s="73"/>
      <c r="F100" s="80"/>
      <c r="G100" s="56"/>
      <c r="H100" s="56"/>
      <c r="I100" s="56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</row>
    <row r="101" spans="1:200" ht="20" customHeight="1" thickBot="1" x14ac:dyDescent="0.25">
      <c r="A101" s="56"/>
      <c r="B101" s="75">
        <v>20</v>
      </c>
      <c r="C101" s="79"/>
      <c r="D101" s="76"/>
      <c r="E101" s="73"/>
      <c r="F101" s="80"/>
      <c r="G101" s="56"/>
      <c r="H101" s="56"/>
      <c r="I101" s="56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</row>
    <row r="102" spans="1:200" ht="20" customHeight="1" thickBot="1" x14ac:dyDescent="0.25">
      <c r="A102" s="56"/>
      <c r="B102" s="68"/>
      <c r="C102" s="82" t="s">
        <v>307</v>
      </c>
      <c r="D102" s="83">
        <f>SUM(D82:D101)</f>
        <v>0</v>
      </c>
      <c r="E102" s="84" t="str">
        <f>IF(AND(D102&gt;=0.95,D102&lt;=1.05),"PASS","FAIL — should be 95–105%")</f>
        <v>FAIL — should be 95–105%</v>
      </c>
      <c r="F102" s="69"/>
      <c r="G102" s="56"/>
      <c r="H102" s="56"/>
      <c r="I102" s="56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</row>
    <row r="103" spans="1:200" ht="20" customHeight="1" x14ac:dyDescent="0.2">
      <c r="A103" s="56"/>
      <c r="G103" s="56"/>
      <c r="H103" s="56"/>
      <c r="I103" s="56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</row>
    <row r="104" spans="1:200" ht="20" customHeight="1" x14ac:dyDescent="0.2">
      <c r="A104" s="56"/>
      <c r="G104" s="56"/>
      <c r="H104" s="56"/>
      <c r="I104" s="56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</row>
    <row r="105" spans="1:200" ht="20" customHeight="1" x14ac:dyDescent="0.2">
      <c r="A105" s="56"/>
      <c r="G105" s="56"/>
      <c r="H105" s="56"/>
      <c r="I105" s="56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</row>
    <row r="106" spans="1:200" ht="20" customHeight="1" x14ac:dyDescent="0.2">
      <c r="A106" s="56"/>
      <c r="G106" s="56"/>
      <c r="H106" s="56"/>
      <c r="I106" s="56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</row>
    <row r="107" spans="1:200" ht="20" customHeight="1" x14ac:dyDescent="0.2">
      <c r="A107" s="56"/>
      <c r="G107" s="56"/>
      <c r="H107" s="56"/>
      <c r="I107" s="56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</row>
    <row r="108" spans="1:200" ht="20" customHeight="1" x14ac:dyDescent="0.2">
      <c r="A108" s="56"/>
      <c r="G108" s="56"/>
      <c r="H108" s="56"/>
      <c r="I108" s="56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</row>
    <row r="109" spans="1:200" ht="20" customHeight="1" x14ac:dyDescent="0.2">
      <c r="A109" s="56"/>
      <c r="G109" s="56"/>
      <c r="H109" s="56"/>
      <c r="I109" s="56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</row>
    <row r="110" spans="1:200" ht="20" customHeight="1" x14ac:dyDescent="0.2">
      <c r="A110" s="56"/>
      <c r="G110" s="56"/>
      <c r="H110" s="56"/>
      <c r="I110" s="56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</row>
    <row r="111" spans="1:200" ht="20" customHeight="1" x14ac:dyDescent="0.2">
      <c r="A111" s="56"/>
      <c r="G111" s="56"/>
      <c r="H111" s="56"/>
      <c r="I111" s="56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</row>
    <row r="112" spans="1:200" ht="20" customHeight="1" x14ac:dyDescent="0.2">
      <c r="A112" s="56"/>
      <c r="G112" s="56"/>
      <c r="H112" s="56"/>
      <c r="I112" s="56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</row>
    <row r="113" spans="1:200" ht="20" customHeight="1" x14ac:dyDescent="0.2">
      <c r="A113" s="56"/>
      <c r="G113" s="56"/>
      <c r="H113" s="56"/>
      <c r="I113" s="56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</row>
    <row r="114" spans="1:200" ht="20" customHeight="1" x14ac:dyDescent="0.2">
      <c r="A114" s="56"/>
      <c r="G114" s="56"/>
      <c r="H114" s="56"/>
      <c r="I114" s="56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</row>
    <row r="115" spans="1:200" ht="20" customHeight="1" x14ac:dyDescent="0.2">
      <c r="A115" s="56"/>
      <c r="G115" s="56"/>
      <c r="H115" s="56"/>
      <c r="I115" s="56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</row>
    <row r="116" spans="1:200" ht="20" customHeight="1" x14ac:dyDescent="0.2">
      <c r="A116" s="56"/>
      <c r="G116" s="56"/>
      <c r="H116" s="56"/>
      <c r="I116" s="56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</row>
    <row r="117" spans="1:200" ht="20" customHeight="1" x14ac:dyDescent="0.2">
      <c r="A117" s="56"/>
      <c r="G117" s="56"/>
      <c r="H117" s="56"/>
      <c r="I117" s="56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</row>
    <row r="118" spans="1:200" ht="20" customHeight="1" x14ac:dyDescent="0.2">
      <c r="A118" s="56"/>
      <c r="G118" s="56"/>
      <c r="H118" s="56"/>
      <c r="I118" s="56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</row>
    <row r="119" spans="1:200" ht="20" customHeight="1" x14ac:dyDescent="0.2">
      <c r="A119" s="56"/>
      <c r="G119" s="56"/>
      <c r="H119" s="56"/>
      <c r="I119" s="56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</row>
    <row r="120" spans="1:200" ht="20" customHeight="1" x14ac:dyDescent="0.2">
      <c r="A120" s="56"/>
      <c r="G120" s="56"/>
      <c r="H120" s="56"/>
      <c r="I120" s="56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</row>
    <row r="121" spans="1:200" ht="20" customHeight="1" x14ac:dyDescent="0.2">
      <c r="A121" s="56"/>
      <c r="G121" s="56"/>
      <c r="H121" s="56"/>
      <c r="I121" s="56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</row>
    <row r="122" spans="1:200" ht="20" customHeight="1" x14ac:dyDescent="0.2">
      <c r="A122" s="56"/>
      <c r="G122" s="56"/>
      <c r="H122" s="56"/>
      <c r="I122" s="56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</row>
    <row r="123" spans="1:200" ht="20" customHeight="1" x14ac:dyDescent="0.2">
      <c r="A123" s="56"/>
      <c r="G123" s="56"/>
      <c r="H123" s="56"/>
      <c r="I123" s="56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</row>
    <row r="124" spans="1:200" ht="20" customHeight="1" x14ac:dyDescent="0.2">
      <c r="A124" s="56"/>
      <c r="G124" s="56"/>
      <c r="H124" s="56"/>
      <c r="I124" s="56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</row>
    <row r="125" spans="1:200" ht="20" customHeight="1" x14ac:dyDescent="0.2">
      <c r="A125" s="56"/>
      <c r="G125" s="56"/>
      <c r="H125" s="56"/>
      <c r="I125" s="56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</row>
    <row r="126" spans="1:200" ht="20" customHeight="1" x14ac:dyDescent="0.2">
      <c r="A126" s="56"/>
      <c r="G126" s="56"/>
      <c r="H126" s="56"/>
      <c r="I126" s="56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</row>
    <row r="127" spans="1:200" ht="20" customHeight="1" x14ac:dyDescent="0.2">
      <c r="A127" s="56"/>
      <c r="G127" s="56"/>
      <c r="H127" s="56"/>
      <c r="I127" s="56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</row>
    <row r="128" spans="1:200" ht="20" customHeight="1" x14ac:dyDescent="0.2">
      <c r="A128" s="56"/>
      <c r="G128" s="56"/>
      <c r="H128" s="56"/>
      <c r="I128" s="56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</row>
    <row r="129" spans="1:200" ht="20" customHeight="1" x14ac:dyDescent="0.2">
      <c r="A129" s="56"/>
      <c r="G129" s="56"/>
      <c r="H129" s="56"/>
      <c r="I129" s="56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</row>
    <row r="130" spans="1:200" ht="20" customHeight="1" x14ac:dyDescent="0.2">
      <c r="A130" s="56"/>
      <c r="G130" s="56"/>
      <c r="H130" s="56"/>
      <c r="I130" s="56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</row>
    <row r="131" spans="1:200" ht="20" customHeight="1" x14ac:dyDescent="0.2">
      <c r="A131" s="56"/>
      <c r="G131" s="56"/>
      <c r="H131" s="56"/>
      <c r="I131" s="56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</row>
    <row r="132" spans="1:200" ht="20" customHeight="1" x14ac:dyDescent="0.2">
      <c r="A132" s="56"/>
      <c r="G132" s="56"/>
      <c r="H132" s="56"/>
      <c r="I132" s="56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</row>
    <row r="133" spans="1:200" ht="20" customHeight="1" x14ac:dyDescent="0.2">
      <c r="A133" s="56"/>
      <c r="G133" s="56"/>
      <c r="H133" s="56"/>
      <c r="I133" s="56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</row>
    <row r="134" spans="1:200" ht="20" customHeight="1" x14ac:dyDescent="0.2">
      <c r="A134" s="56"/>
      <c r="G134" s="56"/>
      <c r="H134" s="56"/>
      <c r="I134" s="56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</row>
    <row r="135" spans="1:200" ht="20" customHeight="1" x14ac:dyDescent="0.2">
      <c r="A135" s="56"/>
      <c r="G135" s="56"/>
      <c r="H135" s="56"/>
      <c r="I135" s="56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</row>
    <row r="136" spans="1:200" ht="20" customHeight="1" x14ac:dyDescent="0.2">
      <c r="A136" s="56"/>
      <c r="G136" s="56"/>
      <c r="H136" s="56"/>
      <c r="I136" s="56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</row>
    <row r="137" spans="1:200" ht="20" customHeight="1" x14ac:dyDescent="0.2">
      <c r="A137" s="56"/>
      <c r="G137" s="56"/>
      <c r="H137" s="56"/>
      <c r="I137" s="56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</row>
    <row r="138" spans="1:200" ht="20" customHeight="1" x14ac:dyDescent="0.2">
      <c r="A138" s="56"/>
      <c r="G138" s="56"/>
      <c r="H138" s="56"/>
      <c r="I138" s="56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</row>
    <row r="139" spans="1:200" ht="20" customHeight="1" x14ac:dyDescent="0.2">
      <c r="A139" s="56"/>
      <c r="G139" s="56"/>
      <c r="H139" s="56"/>
      <c r="I139" s="56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</row>
    <row r="140" spans="1:200" ht="20" customHeight="1" x14ac:dyDescent="0.2">
      <c r="A140" s="56"/>
      <c r="G140" s="56"/>
      <c r="H140" s="56"/>
      <c r="I140" s="56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</row>
    <row r="141" spans="1:200" ht="20" customHeight="1" x14ac:dyDescent="0.2">
      <c r="A141" s="56"/>
      <c r="G141" s="56"/>
      <c r="H141" s="56"/>
      <c r="I141" s="56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</row>
    <row r="142" spans="1:200" ht="20" customHeight="1" x14ac:dyDescent="0.2">
      <c r="A142" s="56"/>
      <c r="G142" s="56"/>
      <c r="H142" s="56"/>
      <c r="I142" s="56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</row>
    <row r="143" spans="1:200" ht="20" customHeight="1" x14ac:dyDescent="0.2">
      <c r="A143" s="56"/>
      <c r="G143" s="56"/>
      <c r="H143" s="56"/>
      <c r="I143" s="56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</row>
    <row r="144" spans="1:200" ht="20" customHeight="1" x14ac:dyDescent="0.2">
      <c r="A144" s="56"/>
      <c r="G144" s="56"/>
      <c r="H144" s="56"/>
      <c r="I144" s="56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</row>
    <row r="145" spans="1:200" ht="20" customHeight="1" x14ac:dyDescent="0.2">
      <c r="A145" s="56"/>
      <c r="G145" s="56"/>
      <c r="H145" s="56"/>
      <c r="I145" s="56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</row>
    <row r="146" spans="1:200" ht="20" customHeight="1" x14ac:dyDescent="0.2">
      <c r="A146" s="56"/>
      <c r="G146" s="56"/>
      <c r="H146" s="56"/>
      <c r="I146" s="56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</row>
    <row r="147" spans="1:200" ht="20" customHeight="1" x14ac:dyDescent="0.2">
      <c r="A147" s="56"/>
      <c r="G147" s="56"/>
      <c r="H147" s="56"/>
      <c r="I147" s="56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</row>
    <row r="148" spans="1:200" ht="20" customHeight="1" x14ac:dyDescent="0.2">
      <c r="A148" s="56"/>
      <c r="G148" s="56"/>
      <c r="H148" s="56"/>
      <c r="I148" s="56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</row>
    <row r="149" spans="1:200" ht="20" customHeight="1" x14ac:dyDescent="0.2">
      <c r="A149" s="56"/>
      <c r="G149" s="56"/>
      <c r="H149" s="56"/>
      <c r="I149" s="56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</row>
    <row r="150" spans="1:200" ht="20" customHeight="1" x14ac:dyDescent="0.2">
      <c r="A150" s="56"/>
      <c r="G150" s="56"/>
      <c r="H150" s="56"/>
      <c r="I150" s="56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</row>
    <row r="151" spans="1:200" ht="20" customHeight="1" x14ac:dyDescent="0.2">
      <c r="A151" s="56"/>
      <c r="G151" s="56"/>
      <c r="H151" s="56"/>
      <c r="I151" s="56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</row>
    <row r="152" spans="1:200" ht="20" customHeight="1" x14ac:dyDescent="0.2">
      <c r="A152" s="56"/>
      <c r="G152" s="56"/>
      <c r="H152" s="56"/>
      <c r="I152" s="56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</row>
    <row r="153" spans="1:200" ht="20" customHeight="1" x14ac:dyDescent="0.2">
      <c r="A153" s="56"/>
      <c r="G153" s="56"/>
      <c r="H153" s="56"/>
      <c r="I153" s="56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</row>
    <row r="154" spans="1:200" ht="20" customHeight="1" x14ac:dyDescent="0.2">
      <c r="A154" s="56"/>
      <c r="G154" s="56"/>
      <c r="H154" s="56"/>
      <c r="I154" s="56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</row>
    <row r="155" spans="1:200" ht="20" customHeight="1" x14ac:dyDescent="0.2">
      <c r="A155" s="56"/>
      <c r="G155" s="56"/>
      <c r="H155" s="56"/>
      <c r="I155" s="56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</row>
    <row r="156" spans="1:200" ht="20" customHeight="1" x14ac:dyDescent="0.2">
      <c r="A156" s="56"/>
      <c r="G156" s="56"/>
      <c r="H156" s="56"/>
      <c r="I156" s="56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</row>
    <row r="157" spans="1:200" ht="20" customHeight="1" x14ac:dyDescent="0.2">
      <c r="A157" s="56"/>
      <c r="G157" s="56"/>
      <c r="H157" s="56"/>
      <c r="I157" s="56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</row>
    <row r="158" spans="1:200" ht="20" customHeight="1" x14ac:dyDescent="0.2">
      <c r="A158" s="56"/>
      <c r="G158" s="56"/>
      <c r="H158" s="56"/>
      <c r="I158" s="56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</row>
    <row r="159" spans="1:200" ht="20" customHeight="1" x14ac:dyDescent="0.2">
      <c r="A159" s="56"/>
      <c r="G159" s="56"/>
      <c r="H159" s="56"/>
      <c r="I159" s="56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</row>
    <row r="160" spans="1:200" ht="20" customHeight="1" x14ac:dyDescent="0.2">
      <c r="A160" s="56"/>
      <c r="G160" s="56"/>
      <c r="H160" s="56"/>
      <c r="I160" s="56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</row>
    <row r="161" spans="1:200" ht="20" customHeight="1" x14ac:dyDescent="0.2">
      <c r="A161" s="56"/>
      <c r="G161" s="56"/>
      <c r="H161" s="56"/>
      <c r="I161" s="56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</row>
    <row r="162" spans="1:200" ht="20" customHeight="1" x14ac:dyDescent="0.2">
      <c r="A162" s="56"/>
      <c r="G162" s="56"/>
      <c r="H162" s="56"/>
      <c r="I162" s="56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</row>
    <row r="163" spans="1:200" ht="20" customHeight="1" x14ac:dyDescent="0.2">
      <c r="A163" s="56"/>
      <c r="G163" s="56"/>
      <c r="H163" s="56"/>
      <c r="I163" s="56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</row>
    <row r="164" spans="1:200" ht="20" customHeight="1" x14ac:dyDescent="0.2">
      <c r="A164" s="56"/>
      <c r="G164" s="56"/>
      <c r="H164" s="56"/>
      <c r="I164" s="56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</row>
    <row r="165" spans="1:200" ht="20" customHeight="1" x14ac:dyDescent="0.2">
      <c r="A165" s="56"/>
      <c r="G165" s="56"/>
      <c r="H165" s="56"/>
      <c r="I165" s="56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</row>
    <row r="166" spans="1:200" ht="20" customHeight="1" x14ac:dyDescent="0.2">
      <c r="A166" s="56"/>
      <c r="G166" s="56"/>
      <c r="H166" s="56"/>
      <c r="I166" s="56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</row>
    <row r="167" spans="1:200" ht="20" customHeight="1" x14ac:dyDescent="0.2">
      <c r="A167" s="56"/>
      <c r="G167" s="56"/>
      <c r="H167" s="56"/>
      <c r="I167" s="56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</row>
    <row r="168" spans="1:200" ht="20" customHeight="1" x14ac:dyDescent="0.2">
      <c r="A168" s="56"/>
      <c r="G168" s="56"/>
      <c r="H168" s="56"/>
      <c r="I168" s="56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</row>
    <row r="169" spans="1:200" ht="20" customHeight="1" x14ac:dyDescent="0.2">
      <c r="A169" s="56"/>
      <c r="G169" s="56"/>
      <c r="H169" s="56"/>
      <c r="I169" s="56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</row>
    <row r="170" spans="1:200" ht="20" customHeight="1" x14ac:dyDescent="0.2">
      <c r="A170" s="56"/>
      <c r="G170" s="56"/>
      <c r="H170" s="56"/>
      <c r="I170" s="56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</row>
    <row r="171" spans="1:200" ht="20" customHeight="1" x14ac:dyDescent="0.2">
      <c r="A171" s="56"/>
      <c r="G171" s="56"/>
      <c r="H171" s="56"/>
      <c r="I171" s="56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</row>
    <row r="172" spans="1:200" ht="20" customHeight="1" x14ac:dyDescent="0.2">
      <c r="A172" s="56"/>
      <c r="G172" s="56"/>
      <c r="H172" s="56"/>
      <c r="I172" s="56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</row>
    <row r="173" spans="1:200" ht="20" customHeight="1" x14ac:dyDescent="0.2">
      <c r="A173" s="56"/>
      <c r="G173" s="56"/>
      <c r="H173" s="56"/>
      <c r="I173" s="56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</row>
    <row r="174" spans="1:200" ht="20" customHeight="1" x14ac:dyDescent="0.2">
      <c r="A174" s="56"/>
      <c r="G174" s="56"/>
      <c r="H174" s="56"/>
      <c r="I174" s="56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</row>
    <row r="175" spans="1:200" ht="20" customHeight="1" x14ac:dyDescent="0.2">
      <c r="A175" s="56"/>
      <c r="G175" s="56"/>
      <c r="H175" s="56"/>
      <c r="I175" s="56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</row>
    <row r="176" spans="1:200" ht="20" customHeight="1" x14ac:dyDescent="0.2">
      <c r="A176" s="56"/>
      <c r="G176" s="56"/>
      <c r="H176" s="56"/>
      <c r="I176" s="56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</row>
    <row r="177" spans="1:200" ht="20" customHeight="1" x14ac:dyDescent="0.2">
      <c r="A177" s="56"/>
      <c r="G177" s="56"/>
      <c r="H177" s="56"/>
      <c r="I177" s="56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</row>
    <row r="178" spans="1:200" ht="20" customHeight="1" x14ac:dyDescent="0.2">
      <c r="A178" s="56"/>
      <c r="G178" s="56"/>
      <c r="H178" s="56"/>
      <c r="I178" s="56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</row>
    <row r="179" spans="1:200" ht="20" customHeight="1" x14ac:dyDescent="0.2">
      <c r="A179" s="56"/>
      <c r="G179" s="56"/>
      <c r="H179" s="56"/>
      <c r="I179" s="56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</row>
    <row r="180" spans="1:200" ht="20" customHeight="1" x14ac:dyDescent="0.2">
      <c r="A180" s="56"/>
      <c r="G180" s="56"/>
      <c r="H180" s="56"/>
      <c r="I180" s="56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</row>
    <row r="181" spans="1:200" ht="20" customHeight="1" x14ac:dyDescent="0.2">
      <c r="A181" s="56"/>
      <c r="G181" s="56"/>
      <c r="H181" s="56"/>
      <c r="I181" s="56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</row>
    <row r="182" spans="1:200" ht="20" customHeight="1" x14ac:dyDescent="0.2">
      <c r="A182" s="56"/>
      <c r="G182" s="56"/>
      <c r="H182" s="56"/>
      <c r="I182" s="56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</row>
    <row r="183" spans="1:200" ht="20" customHeight="1" x14ac:dyDescent="0.2">
      <c r="A183" s="56"/>
      <c r="G183" s="56"/>
      <c r="H183" s="56"/>
      <c r="I183" s="56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</row>
    <row r="184" spans="1:200" ht="20" customHeight="1" x14ac:dyDescent="0.2">
      <c r="A184" s="56"/>
      <c r="G184" s="56"/>
      <c r="H184" s="56"/>
      <c r="I184" s="56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</row>
    <row r="185" spans="1:200" ht="20" customHeight="1" x14ac:dyDescent="0.2">
      <c r="A185" s="56"/>
      <c r="G185" s="56"/>
      <c r="H185" s="56"/>
      <c r="I185" s="56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</row>
    <row r="186" spans="1:200" ht="20" customHeight="1" x14ac:dyDescent="0.2">
      <c r="A186" s="56"/>
      <c r="G186" s="56"/>
      <c r="H186" s="56"/>
      <c r="I186" s="56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</row>
    <row r="187" spans="1:200" ht="20" customHeight="1" x14ac:dyDescent="0.2">
      <c r="A187" s="56"/>
      <c r="G187" s="56"/>
      <c r="H187" s="56"/>
      <c r="I187" s="56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</row>
    <row r="188" spans="1:200" ht="20" customHeight="1" x14ac:dyDescent="0.2">
      <c r="A188" s="56"/>
      <c r="G188" s="56"/>
      <c r="H188" s="56"/>
      <c r="I188" s="56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</row>
    <row r="189" spans="1:200" ht="20" customHeight="1" x14ac:dyDescent="0.2">
      <c r="A189" s="56"/>
      <c r="G189" s="56"/>
      <c r="H189" s="56"/>
      <c r="I189" s="56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</row>
    <row r="190" spans="1:200" ht="20" customHeight="1" x14ac:dyDescent="0.2">
      <c r="A190" s="56"/>
      <c r="G190" s="56"/>
      <c r="H190" s="56"/>
      <c r="I190" s="56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</row>
    <row r="191" spans="1:200" ht="20" customHeight="1" x14ac:dyDescent="0.2">
      <c r="A191" s="56"/>
      <c r="G191" s="56"/>
      <c r="H191" s="56"/>
      <c r="I191" s="56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</row>
    <row r="192" spans="1:200" ht="20" customHeight="1" x14ac:dyDescent="0.2">
      <c r="A192" s="56"/>
      <c r="G192" s="56"/>
      <c r="H192" s="56"/>
      <c r="I192" s="56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</row>
    <row r="193" spans="1:200" ht="20" customHeight="1" x14ac:dyDescent="0.2">
      <c r="A193" s="56"/>
      <c r="G193" s="56"/>
      <c r="H193" s="56"/>
      <c r="I193" s="56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</row>
    <row r="194" spans="1:200" ht="20" customHeight="1" x14ac:dyDescent="0.2">
      <c r="A194" s="56"/>
      <c r="G194" s="56"/>
      <c r="H194" s="56"/>
      <c r="I194" s="56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</row>
    <row r="195" spans="1:200" ht="20" customHeight="1" x14ac:dyDescent="0.2">
      <c r="A195" s="56"/>
      <c r="G195" s="56"/>
      <c r="H195" s="56"/>
      <c r="I195" s="56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</row>
    <row r="196" spans="1:200" ht="20" customHeight="1" x14ac:dyDescent="0.2">
      <c r="A196" s="56"/>
      <c r="G196" s="56"/>
      <c r="H196" s="56"/>
      <c r="I196" s="56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</row>
    <row r="197" spans="1:200" ht="20" customHeight="1" x14ac:dyDescent="0.2">
      <c r="A197" s="56"/>
      <c r="G197" s="56"/>
      <c r="H197" s="56"/>
      <c r="I197" s="56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</row>
    <row r="198" spans="1:200" ht="20" customHeight="1" x14ac:dyDescent="0.2">
      <c r="A198" s="56"/>
      <c r="G198" s="56"/>
      <c r="H198" s="56"/>
      <c r="I198" s="56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</row>
    <row r="199" spans="1:200" ht="20" customHeight="1" x14ac:dyDescent="0.2">
      <c r="A199" s="56"/>
      <c r="G199" s="56"/>
      <c r="H199" s="56"/>
      <c r="I199" s="56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</row>
    <row r="200" spans="1:200" ht="20" customHeight="1" x14ac:dyDescent="0.2">
      <c r="A200" s="56"/>
      <c r="G200" s="56"/>
      <c r="H200" s="56"/>
      <c r="I200" s="56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</row>
    <row r="201" spans="1:200" ht="20" customHeight="1" x14ac:dyDescent="0.2">
      <c r="A201" s="56"/>
      <c r="G201" s="56"/>
      <c r="H201" s="56"/>
      <c r="I201" s="56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</row>
    <row r="202" spans="1:200" ht="20" customHeight="1" x14ac:dyDescent="0.2">
      <c r="A202" s="56"/>
      <c r="G202" s="56"/>
      <c r="H202" s="56"/>
      <c r="I202" s="56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</row>
    <row r="203" spans="1:200" ht="20" customHeight="1" x14ac:dyDescent="0.2">
      <c r="A203" s="56"/>
      <c r="G203" s="56"/>
      <c r="H203" s="56"/>
      <c r="I203" s="56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</row>
    <row r="204" spans="1:200" ht="20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</row>
    <row r="205" spans="1:200" ht="20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</row>
    <row r="206" spans="1:200" ht="20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</row>
    <row r="207" spans="1:200" ht="20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</row>
    <row r="208" spans="1:200" ht="20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</row>
    <row r="209" spans="1:200" ht="20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</row>
    <row r="210" spans="1:200" ht="20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</row>
    <row r="211" spans="1:200" ht="20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</row>
    <row r="212" spans="1:200" ht="20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</row>
    <row r="213" spans="1:200" ht="20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</row>
    <row r="214" spans="1:200" ht="20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</row>
    <row r="215" spans="1:200" ht="20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</row>
    <row r="216" spans="1:200" ht="20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</row>
    <row r="217" spans="1:200" ht="20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</row>
    <row r="218" spans="1:200" ht="20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</row>
    <row r="219" spans="1:200" ht="20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</row>
    <row r="220" spans="1:200" ht="20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</row>
    <row r="221" spans="1:200" ht="20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</row>
    <row r="222" spans="1:200" ht="20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</row>
    <row r="223" spans="1:200" ht="20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</row>
    <row r="224" spans="1:200" ht="20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</row>
    <row r="225" spans="1:200" ht="20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</row>
    <row r="226" spans="1:200" ht="20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</row>
    <row r="227" spans="1:200" ht="20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</row>
    <row r="228" spans="1:200" ht="20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</row>
    <row r="229" spans="1:200" ht="20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</row>
    <row r="230" spans="1:200" ht="20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</row>
    <row r="231" spans="1:200" ht="20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</row>
    <row r="232" spans="1:200" ht="20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</row>
    <row r="233" spans="1:200" ht="20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</row>
    <row r="234" spans="1:200" ht="20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</row>
    <row r="235" spans="1:200" ht="20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</row>
    <row r="236" spans="1:200" ht="20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</row>
    <row r="237" spans="1:200" ht="20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</row>
    <row r="238" spans="1:200" ht="20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</row>
    <row r="239" spans="1:200" ht="20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</row>
    <row r="240" spans="1:200" ht="20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</row>
    <row r="241" spans="1:200" ht="20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</row>
    <row r="242" spans="1:200" ht="20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</row>
    <row r="243" spans="1:200" ht="20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</row>
    <row r="244" spans="1:200" ht="20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</row>
    <row r="245" spans="1:200" ht="20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</row>
    <row r="246" spans="1:200" ht="20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</row>
    <row r="247" spans="1:200" ht="20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</row>
    <row r="248" spans="1:200" ht="20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</row>
    <row r="249" spans="1:200" ht="20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</row>
    <row r="250" spans="1:200" ht="20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</row>
    <row r="251" spans="1:200" ht="20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</row>
    <row r="252" spans="1:200" ht="20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</row>
    <row r="253" spans="1:200" ht="20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</row>
    <row r="254" spans="1:200" ht="20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</row>
    <row r="255" spans="1:200" ht="20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</row>
    <row r="256" spans="1:200" ht="20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</row>
    <row r="257" spans="1:200" ht="20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</row>
    <row r="258" spans="1:200" ht="20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</row>
    <row r="259" spans="1:200" ht="20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</row>
    <row r="260" spans="1:200" ht="20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</row>
    <row r="261" spans="1:200" ht="20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</row>
    <row r="262" spans="1:200" ht="20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</row>
    <row r="263" spans="1:200" ht="20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</row>
    <row r="264" spans="1:200" ht="20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</row>
    <row r="265" spans="1:200" ht="20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</row>
    <row r="266" spans="1:200" ht="20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</row>
    <row r="267" spans="1:200" ht="20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</row>
    <row r="268" spans="1:200" ht="20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</row>
    <row r="269" spans="1:200" ht="20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</row>
    <row r="270" spans="1:200" ht="20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</row>
    <row r="271" spans="1:200" ht="20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</row>
    <row r="272" spans="1:200" ht="20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</row>
    <row r="273" spans="1:200" ht="20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</row>
    <row r="274" spans="1:200" ht="20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</row>
    <row r="275" spans="1:200" ht="20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</row>
    <row r="276" spans="1:200" ht="20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</row>
    <row r="277" spans="1:200" ht="20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</row>
    <row r="278" spans="1:200" ht="20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</row>
    <row r="279" spans="1:200" ht="20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</row>
    <row r="280" spans="1:200" ht="20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</row>
    <row r="281" spans="1:200" ht="20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</row>
    <row r="282" spans="1:200" ht="20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</row>
    <row r="283" spans="1:200" ht="20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</row>
    <row r="284" spans="1:200" ht="20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</row>
    <row r="285" spans="1:200" ht="20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</row>
    <row r="286" spans="1:200" ht="20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</row>
    <row r="287" spans="1:200" ht="20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</row>
    <row r="288" spans="1:200" ht="20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</row>
    <row r="289" spans="1:200" ht="20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</row>
    <row r="290" spans="1:200" ht="20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</row>
    <row r="291" spans="1:200" ht="20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</row>
    <row r="292" spans="1:200" ht="20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</row>
    <row r="293" spans="1:200" ht="20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</row>
    <row r="294" spans="1:200" ht="20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</row>
    <row r="295" spans="1:200" ht="20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</row>
    <row r="296" spans="1:200" ht="20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</row>
    <row r="297" spans="1:200" ht="20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</row>
    <row r="298" spans="1:200" ht="20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</row>
    <row r="299" spans="1:200" ht="20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</row>
    <row r="300" spans="1:200" ht="20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</row>
    <row r="301" spans="1:200" ht="20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</row>
    <row r="302" spans="1:200" ht="20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</row>
    <row r="303" spans="1:200" ht="20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</row>
    <row r="304" spans="1:200" ht="20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</row>
    <row r="305" spans="1:200" ht="20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</row>
    <row r="306" spans="1:200" ht="20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</row>
    <row r="307" spans="1:200" ht="20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</row>
    <row r="308" spans="1:200" ht="20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</row>
    <row r="309" spans="1:200" ht="20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</row>
    <row r="310" spans="1:200" ht="20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</row>
    <row r="311" spans="1:200" ht="20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</row>
    <row r="312" spans="1:200" ht="20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</row>
    <row r="313" spans="1:200" ht="20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</row>
    <row r="314" spans="1:200" ht="20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</row>
    <row r="315" spans="1:200" ht="20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</row>
    <row r="316" spans="1:200" ht="20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</row>
    <row r="317" spans="1:200" ht="20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</row>
    <row r="318" spans="1:200" ht="20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</row>
    <row r="319" spans="1:200" ht="20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</row>
    <row r="320" spans="1:200" ht="20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</row>
    <row r="321" spans="1:200" ht="20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</row>
    <row r="322" spans="1:200" ht="20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</row>
    <row r="323" spans="1:200" ht="20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</row>
    <row r="324" spans="1:200" ht="20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</row>
    <row r="325" spans="1:200" ht="20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</row>
    <row r="326" spans="1:200" ht="20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</row>
    <row r="327" spans="1:200" ht="20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</row>
    <row r="328" spans="1:200" ht="20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</row>
    <row r="329" spans="1:200" ht="20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</row>
    <row r="330" spans="1:200" ht="20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</row>
    <row r="331" spans="1:200" ht="20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</row>
    <row r="332" spans="1:200" ht="20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</row>
    <row r="333" spans="1:200" ht="20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</row>
    <row r="334" spans="1:200" ht="20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</row>
    <row r="335" spans="1:200" ht="20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</row>
    <row r="336" spans="1:200" ht="20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</row>
    <row r="337" spans="1:200" ht="20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</row>
    <row r="338" spans="1:200" ht="20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</row>
    <row r="339" spans="1:200" ht="20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</row>
    <row r="340" spans="1:200" ht="20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</row>
    <row r="341" spans="1:200" ht="20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</row>
    <row r="342" spans="1:200" ht="20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</row>
    <row r="343" spans="1:200" ht="20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</row>
    <row r="344" spans="1:200" ht="20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</row>
    <row r="345" spans="1:200" ht="20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</row>
    <row r="346" spans="1:200" ht="20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</row>
    <row r="347" spans="1:200" ht="20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</row>
    <row r="348" spans="1:200" ht="20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</row>
    <row r="349" spans="1:200" ht="20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</row>
    <row r="350" spans="1:200" ht="20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</row>
    <row r="351" spans="1:200" ht="20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</row>
    <row r="352" spans="1:200" ht="20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</row>
    <row r="353" spans="1:200" ht="20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</row>
    <row r="354" spans="1:200" ht="20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</row>
    <row r="355" spans="1:200" ht="20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</row>
    <row r="356" spans="1:200" ht="20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</row>
    <row r="357" spans="1:200" ht="20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</row>
    <row r="358" spans="1:200" ht="20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</row>
    <row r="359" spans="1:200" ht="20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</row>
    <row r="360" spans="1:200" ht="20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</row>
    <row r="361" spans="1:200" ht="20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</row>
    <row r="362" spans="1:200" ht="20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</row>
    <row r="363" spans="1:200" ht="20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</row>
    <row r="364" spans="1:200" ht="20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</row>
    <row r="365" spans="1:200" ht="20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</row>
    <row r="366" spans="1:200" ht="20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</row>
    <row r="367" spans="1:200" ht="20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</row>
    <row r="368" spans="1:200" ht="20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</row>
    <row r="369" spans="1:200" ht="20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</row>
    <row r="370" spans="1:200" ht="20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</row>
    <row r="371" spans="1:200" ht="20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</row>
    <row r="372" spans="1:200" ht="20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</row>
    <row r="373" spans="1:200" ht="20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</row>
    <row r="374" spans="1:200" ht="20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</row>
    <row r="375" spans="1:200" ht="20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</row>
    <row r="376" spans="1:200" ht="20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</row>
    <row r="377" spans="1:200" ht="20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</row>
    <row r="378" spans="1:200" ht="20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</row>
    <row r="379" spans="1:200" ht="20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</row>
    <row r="380" spans="1:200" ht="20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</row>
    <row r="381" spans="1:200" ht="20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</row>
    <row r="382" spans="1:200" ht="20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</row>
    <row r="383" spans="1:200" ht="20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</row>
    <row r="384" spans="1:200" ht="20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</row>
    <row r="385" spans="1:200" ht="20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</row>
    <row r="386" spans="1:200" ht="20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</row>
    <row r="387" spans="1:200" ht="20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</row>
    <row r="388" spans="1:200" ht="20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</row>
    <row r="389" spans="1:200" ht="20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</row>
    <row r="390" spans="1:200" ht="20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</row>
    <row r="391" spans="1:200" ht="20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</row>
    <row r="392" spans="1:200" ht="20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</row>
    <row r="393" spans="1:200" ht="20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</row>
    <row r="394" spans="1:200" ht="20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</row>
    <row r="395" spans="1:200" ht="20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</row>
    <row r="396" spans="1:200" ht="20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</row>
    <row r="397" spans="1:200" ht="20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</row>
    <row r="398" spans="1:200" ht="20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</row>
    <row r="399" spans="1:200" ht="20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</row>
    <row r="400" spans="1:200" ht="20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</row>
    <row r="401" spans="1:200" ht="20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</row>
    <row r="402" spans="1:200" ht="20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</row>
    <row r="403" spans="1:200" ht="20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</row>
    <row r="404" spans="1:200" ht="20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</row>
    <row r="405" spans="1:200" ht="20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</row>
    <row r="406" spans="1:200" ht="20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</row>
    <row r="407" spans="1:200" ht="20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</row>
    <row r="408" spans="1:200" ht="20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</row>
    <row r="409" spans="1:200" ht="20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</row>
    <row r="410" spans="1:200" ht="20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</row>
    <row r="411" spans="1:200" ht="20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</row>
    <row r="412" spans="1:200" ht="20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</row>
    <row r="413" spans="1:200" ht="20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</row>
    <row r="414" spans="1:200" ht="20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</row>
    <row r="415" spans="1:200" ht="20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</row>
    <row r="416" spans="1:200" ht="20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</row>
    <row r="417" spans="1:200" ht="20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</row>
    <row r="418" spans="1:200" ht="20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</row>
    <row r="419" spans="1:200" ht="20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</row>
    <row r="420" spans="1:200" ht="20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</row>
    <row r="421" spans="1:200" ht="20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</row>
    <row r="422" spans="1:200" ht="20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</row>
    <row r="423" spans="1:200" ht="20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</row>
    <row r="424" spans="1:200" ht="20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</row>
    <row r="425" spans="1:200" ht="20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</row>
    <row r="426" spans="1:200" ht="20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</row>
    <row r="427" spans="1:200" ht="20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</row>
    <row r="428" spans="1:200" ht="20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</row>
    <row r="429" spans="1:200" ht="20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</row>
    <row r="430" spans="1:200" ht="20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</row>
    <row r="431" spans="1:200" ht="20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</row>
    <row r="432" spans="1:200" ht="20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</row>
    <row r="433" spans="1:200" ht="20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</row>
    <row r="434" spans="1:200" ht="20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</row>
    <row r="435" spans="1:200" ht="20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</row>
    <row r="436" spans="1:200" ht="20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</row>
    <row r="437" spans="1:200" ht="20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</row>
    <row r="438" spans="1:200" ht="20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</row>
    <row r="439" spans="1:200" ht="20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</row>
    <row r="440" spans="1:200" ht="20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</row>
    <row r="441" spans="1:200" ht="20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</row>
    <row r="442" spans="1:200" ht="20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</row>
    <row r="443" spans="1:200" ht="20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</row>
    <row r="444" spans="1:200" ht="20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</row>
    <row r="445" spans="1:200" ht="20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</row>
    <row r="446" spans="1:200" ht="20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</row>
    <row r="447" spans="1:200" ht="20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</row>
    <row r="448" spans="1:200" ht="20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</row>
    <row r="449" spans="1:200" ht="20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</row>
    <row r="450" spans="1:200" ht="20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</row>
    <row r="451" spans="1:200" ht="20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</row>
    <row r="452" spans="1:200" ht="20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</row>
    <row r="453" spans="1:200" ht="20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</row>
    <row r="454" spans="1:200" ht="20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</row>
    <row r="455" spans="1:200" ht="20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</row>
    <row r="456" spans="1:200" ht="20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</row>
    <row r="457" spans="1:200" ht="20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</row>
    <row r="458" spans="1:200" ht="20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</row>
    <row r="459" spans="1:200" ht="20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</row>
    <row r="460" spans="1:200" ht="20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</row>
    <row r="461" spans="1:200" ht="20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</row>
    <row r="462" spans="1:200" ht="20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</row>
    <row r="463" spans="1:200" ht="20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</row>
    <row r="464" spans="1:200" ht="20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</row>
    <row r="465" spans="1:200" ht="20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</row>
    <row r="466" spans="1:200" ht="20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</row>
    <row r="467" spans="1:200" ht="20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</row>
    <row r="468" spans="1:200" ht="20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</row>
    <row r="469" spans="1:200" ht="20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</row>
    <row r="470" spans="1:200" ht="20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</row>
    <row r="471" spans="1:200" ht="20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</row>
    <row r="472" spans="1:200" ht="20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</row>
    <row r="473" spans="1:200" ht="20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</row>
    <row r="474" spans="1:200" ht="20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</row>
    <row r="475" spans="1:200" ht="20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</row>
    <row r="476" spans="1:200" ht="20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</row>
    <row r="477" spans="1:200" ht="20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</row>
    <row r="478" spans="1:200" ht="20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</row>
    <row r="479" spans="1:200" ht="20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</row>
    <row r="480" spans="1:200" ht="20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</row>
    <row r="481" spans="1:200" ht="20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</row>
    <row r="482" spans="1:200" ht="20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</row>
    <row r="483" spans="1:200" ht="20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</row>
    <row r="484" spans="1:200" ht="20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</row>
    <row r="485" spans="1:200" ht="20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</row>
    <row r="486" spans="1:200" ht="20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</row>
    <row r="487" spans="1:200" ht="20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</row>
    <row r="488" spans="1:200" ht="20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</row>
    <row r="489" spans="1:200" ht="20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</row>
    <row r="490" spans="1:200" ht="20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</row>
    <row r="491" spans="1:200" ht="20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</row>
    <row r="492" spans="1:200" ht="20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</row>
    <row r="493" spans="1:200" ht="20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</row>
    <row r="494" spans="1:200" ht="20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</row>
    <row r="495" spans="1:200" ht="20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</row>
    <row r="496" spans="1:200" ht="20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</row>
    <row r="497" spans="1:200" ht="20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</row>
    <row r="498" spans="1:200" ht="20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</row>
    <row r="499" spans="1:200" ht="20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</row>
    <row r="500" spans="1:200" ht="20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</row>
    <row r="501" spans="1:200" ht="20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</row>
    <row r="502" spans="1:200" ht="20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</row>
    <row r="503" spans="1:200" ht="20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</row>
    <row r="504" spans="1:200" ht="20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</row>
    <row r="505" spans="1:200" ht="20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</row>
    <row r="506" spans="1:200" ht="20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</row>
    <row r="507" spans="1:200" ht="20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</row>
    <row r="508" spans="1:200" ht="20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</row>
    <row r="509" spans="1:200" ht="20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</row>
    <row r="510" spans="1:200" ht="20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</row>
    <row r="511" spans="1:200" ht="20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</row>
    <row r="512" spans="1:200" ht="20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</row>
  </sheetData>
  <sheetProtection sheet="1"/>
  <conditionalFormatting sqref="G37:G41">
    <cfRule type="cellIs" dxfId="1" priority="2" operator="equal">
      <formula>"PASS"</formula>
    </cfRule>
  </conditionalFormatting>
  <dataValidations count="4">
    <dataValidation type="decimal" allowBlank="1" errorTitle="Invalid Weight" error="Weight should be between 0 and 1 (e.g. 0.20 = 20%)" sqref="D16:D35 D49:D68 D82:D101" xr:uid="{00000000-0002-0000-0800-000000000000}">
      <formula1>0</formula1>
      <formula2>1</formula2>
    </dataValidation>
    <dataValidation type="list" sqref="C11 C44 C77 D9 D42 D75 F13 F46 F79" xr:uid="{00000000-0002-0000-0800-000001000000}">
      <formula1>"POLICY,ALTERNATE"</formula1>
    </dataValidation>
    <dataValidation type="list" allowBlank="1" error="Select Yes or No" sqref="F16:F35 F49:F68 F82:F101" xr:uid="{00000000-0002-0000-0800-000002000000}">
      <formula1>"Yes,No"</formula1>
    </dataValidation>
    <dataValidation type="list" errorTitle="Direct Mode" error="Select Yes or No" sqref="C13 C46 C79" xr:uid="{00000000-0002-0000-0800-000003000000}">
      <formula1>"Yes,No"</formula1>
    </dataValidation>
  </dataValidations>
  <pageMargins left="0.75" right="0.75" top="1" bottom="1" header="0.511811023622047" footer="0.511811023622047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Checks</vt:lpstr>
      <vt:lpstr>HOW TO</vt:lpstr>
      <vt:lpstr>_CONFIG</vt:lpstr>
      <vt:lpstr>Client_Info</vt:lpstr>
      <vt:lpstr>Client_Portfolio</vt:lpstr>
      <vt:lpstr>Mgr_NAVs</vt:lpstr>
      <vt:lpstr>Mgr_Returns</vt:lpstr>
      <vt:lpstr>Bench_Returns</vt:lpstr>
      <vt:lpstr>Policy_Setup</vt:lpstr>
      <vt:lpstr>Policy_Returns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Matthew Ward</cp:lastModifiedBy>
  <cp:revision>0</cp:revision>
  <dcterms:created xsi:type="dcterms:W3CDTF">2026-03-08T20:03:52Z</dcterms:created>
  <dcterms:modified xsi:type="dcterms:W3CDTF">2026-03-17T15:50:46Z</dcterms:modified>
  <dc:language>en-US</dc:language>
</cp:coreProperties>
</file>