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mattward24/Documents/Programs/Demo Excel/"/>
    </mc:Choice>
  </mc:AlternateContent>
  <xr:revisionPtr revIDLastSave="0" documentId="8_{4CBF2A04-D38E-1648-A844-260BBFFD70BD}" xr6:coauthVersionLast="47" xr6:coauthVersionMax="47" xr10:uidLastSave="{00000000-0000-0000-0000-000000000000}"/>
  <bookViews>
    <workbookView xWindow="0" yWindow="660" windowWidth="30240" windowHeight="17520" xr2:uid="{00000000-000D-0000-FFFF-FFFF00000000}"/>
  </bookViews>
  <sheets>
    <sheet name="HOW TO" sheetId="1" r:id="rId1"/>
    <sheet name="_CONFIG" sheetId="2" r:id="rId2"/>
    <sheet name="Checks" sheetId="3" r:id="rId3"/>
    <sheet name="Bench_Setup" sheetId="4" r:id="rId4"/>
    <sheet name="Bench_Returns" sheetId="5" r:id="rId5"/>
    <sheet name="Blend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5" i="6" l="1"/>
  <c r="BB15" i="6"/>
  <c r="BC14" i="6"/>
  <c r="BB14" i="6"/>
  <c r="BC13" i="6"/>
  <c r="BB13" i="6"/>
  <c r="BC12" i="6"/>
  <c r="BB12" i="6"/>
  <c r="BC11" i="6"/>
  <c r="BB11" i="6"/>
  <c r="BC10" i="6"/>
  <c r="BB10" i="6"/>
  <c r="BC9" i="6"/>
  <c r="BB9" i="6"/>
  <c r="BB8" i="6"/>
  <c r="BC8" i="6" s="1"/>
  <c r="BB7" i="6"/>
  <c r="BC7" i="6" s="1"/>
  <c r="BB6" i="6"/>
  <c r="BC6" i="6" s="1"/>
  <c r="D13" i="3" s="1"/>
  <c r="E13" i="3" s="1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187" i="5"/>
  <c r="B187" i="5"/>
  <c r="C186" i="5"/>
  <c r="B186" i="5" s="1"/>
  <c r="C185" i="5"/>
  <c r="B185" i="5" s="1"/>
  <c r="C184" i="5"/>
  <c r="B184" i="5" s="1"/>
  <c r="C183" i="5"/>
  <c r="B183" i="5" s="1"/>
  <c r="C182" i="5"/>
  <c r="B182" i="5" s="1"/>
  <c r="C181" i="5"/>
  <c r="B181" i="5" s="1"/>
  <c r="C180" i="5"/>
  <c r="B180" i="5" s="1"/>
  <c r="C179" i="5"/>
  <c r="B179" i="5" s="1"/>
  <c r="C178" i="5"/>
  <c r="B178" i="5" s="1"/>
  <c r="C177" i="5"/>
  <c r="B177" i="5" s="1"/>
  <c r="C176" i="5"/>
  <c r="B176" i="5" s="1"/>
  <c r="C175" i="5"/>
  <c r="B175" i="5" s="1"/>
  <c r="C174" i="5"/>
  <c r="B174" i="5" s="1"/>
  <c r="C173" i="5"/>
  <c r="B173" i="5" s="1"/>
  <c r="C172" i="5"/>
  <c r="B172" i="5" s="1"/>
  <c r="C171" i="5"/>
  <c r="B171" i="5" s="1"/>
  <c r="C170" i="5"/>
  <c r="B170" i="5" s="1"/>
  <c r="C169" i="5"/>
  <c r="B169" i="5"/>
  <c r="C168" i="5"/>
  <c r="B168" i="5" s="1"/>
  <c r="C167" i="5"/>
  <c r="B167" i="5" s="1"/>
  <c r="C166" i="5"/>
  <c r="B166" i="5" s="1"/>
  <c r="C165" i="5"/>
  <c r="B165" i="5" s="1"/>
  <c r="C164" i="5"/>
  <c r="B164" i="5" s="1"/>
  <c r="C163" i="5"/>
  <c r="B163" i="5" s="1"/>
  <c r="C162" i="5"/>
  <c r="B162" i="5" s="1"/>
  <c r="C161" i="5"/>
  <c r="B161" i="5" s="1"/>
  <c r="C160" i="5"/>
  <c r="B160" i="5" s="1"/>
  <c r="C159" i="5"/>
  <c r="B159" i="5" s="1"/>
  <c r="C158" i="5"/>
  <c r="B158" i="5" s="1"/>
  <c r="C157" i="5"/>
  <c r="B157" i="5" s="1"/>
  <c r="C156" i="5"/>
  <c r="B156" i="5" s="1"/>
  <c r="C155" i="5"/>
  <c r="B155" i="5" s="1"/>
  <c r="C154" i="5"/>
  <c r="B154" i="5" s="1"/>
  <c r="C153" i="5"/>
  <c r="B153" i="5" s="1"/>
  <c r="C152" i="5"/>
  <c r="B152" i="5" s="1"/>
  <c r="C151" i="5"/>
  <c r="B151" i="5" s="1"/>
  <c r="C150" i="5"/>
  <c r="B150" i="5" s="1"/>
  <c r="C149" i="5"/>
  <c r="B149" i="5" s="1"/>
  <c r="C148" i="5"/>
  <c r="B148" i="5" s="1"/>
  <c r="C147" i="5"/>
  <c r="B147" i="5" s="1"/>
  <c r="C146" i="5"/>
  <c r="B146" i="5" s="1"/>
  <c r="C145" i="5"/>
  <c r="B145" i="5" s="1"/>
  <c r="C144" i="5"/>
  <c r="B144" i="5" s="1"/>
  <c r="C143" i="5"/>
  <c r="B143" i="5" s="1"/>
  <c r="C142" i="5"/>
  <c r="B142" i="5" s="1"/>
  <c r="C141" i="5"/>
  <c r="B141" i="5" s="1"/>
  <c r="C140" i="5"/>
  <c r="B140" i="5" s="1"/>
  <c r="C139" i="5"/>
  <c r="B139" i="5" s="1"/>
  <c r="C138" i="5"/>
  <c r="B138" i="5" s="1"/>
  <c r="C137" i="5"/>
  <c r="B137" i="5" s="1"/>
  <c r="C136" i="5"/>
  <c r="B136" i="5" s="1"/>
  <c r="C135" i="5"/>
  <c r="B135" i="5" s="1"/>
  <c r="C134" i="5"/>
  <c r="B134" i="5" s="1"/>
  <c r="C133" i="5"/>
  <c r="B133" i="5" s="1"/>
  <c r="C132" i="5"/>
  <c r="B132" i="5" s="1"/>
  <c r="C131" i="5"/>
  <c r="B131" i="5" s="1"/>
  <c r="C130" i="5"/>
  <c r="B130" i="5" s="1"/>
  <c r="C129" i="5"/>
  <c r="B129" i="5" s="1"/>
  <c r="C128" i="5"/>
  <c r="B128" i="5" s="1"/>
  <c r="C127" i="5"/>
  <c r="B127" i="5" s="1"/>
  <c r="C126" i="5"/>
  <c r="B126" i="5" s="1"/>
  <c r="C125" i="5"/>
  <c r="B125" i="5" s="1"/>
  <c r="C124" i="5"/>
  <c r="B124" i="5"/>
  <c r="C123" i="5"/>
  <c r="B123" i="5" s="1"/>
  <c r="C122" i="5"/>
  <c r="B122" i="5" s="1"/>
  <c r="C121" i="5"/>
  <c r="B121" i="5" s="1"/>
  <c r="C120" i="5"/>
  <c r="B120" i="5" s="1"/>
  <c r="C119" i="5"/>
  <c r="B119" i="5" s="1"/>
  <c r="C118" i="5"/>
  <c r="B118" i="5" s="1"/>
  <c r="C117" i="5"/>
  <c r="B117" i="5" s="1"/>
  <c r="C116" i="5"/>
  <c r="B116" i="5" s="1"/>
  <c r="C115" i="5"/>
  <c r="B115" i="5" s="1"/>
  <c r="C114" i="5"/>
  <c r="B114" i="5" s="1"/>
  <c r="C113" i="5"/>
  <c r="B113" i="5" s="1"/>
  <c r="C112" i="5"/>
  <c r="B112" i="5" s="1"/>
  <c r="C111" i="5"/>
  <c r="B111" i="5" s="1"/>
  <c r="C110" i="5"/>
  <c r="B110" i="5" s="1"/>
  <c r="C109" i="5"/>
  <c r="B109" i="5" s="1"/>
  <c r="C108" i="5"/>
  <c r="B108" i="5" s="1"/>
  <c r="C107" i="5"/>
  <c r="B107" i="5" s="1"/>
  <c r="C106" i="5"/>
  <c r="B106" i="5" s="1"/>
  <c r="C105" i="5"/>
  <c r="B105" i="5" s="1"/>
  <c r="C104" i="5"/>
  <c r="B104" i="5" s="1"/>
  <c r="C103" i="5"/>
  <c r="B103" i="5" s="1"/>
  <c r="C102" i="5"/>
  <c r="B102" i="5" s="1"/>
  <c r="C101" i="5"/>
  <c r="B101" i="5" s="1"/>
  <c r="C100" i="5"/>
  <c r="B100" i="5" s="1"/>
  <c r="C99" i="5"/>
  <c r="B99" i="5" s="1"/>
  <c r="C98" i="5"/>
  <c r="B98" i="5" s="1"/>
  <c r="C97" i="5"/>
  <c r="B97" i="5" s="1"/>
  <c r="C96" i="5"/>
  <c r="B96" i="5" s="1"/>
  <c r="C95" i="5"/>
  <c r="B95" i="5" s="1"/>
  <c r="C94" i="5"/>
  <c r="B94" i="5" s="1"/>
  <c r="C93" i="5"/>
  <c r="B93" i="5" s="1"/>
  <c r="C92" i="5"/>
  <c r="B92" i="5" s="1"/>
  <c r="C91" i="5"/>
  <c r="B91" i="5" s="1"/>
  <c r="C90" i="5"/>
  <c r="B90" i="5" s="1"/>
  <c r="C89" i="5"/>
  <c r="B89" i="5" s="1"/>
  <c r="C88" i="5"/>
  <c r="B88" i="5" s="1"/>
  <c r="C87" i="5"/>
  <c r="B87" i="5" s="1"/>
  <c r="C86" i="5"/>
  <c r="B86" i="5" s="1"/>
  <c r="C85" i="5"/>
  <c r="B85" i="5" s="1"/>
  <c r="C84" i="5"/>
  <c r="B84" i="5" s="1"/>
  <c r="C83" i="5"/>
  <c r="B83" i="5" s="1"/>
  <c r="C82" i="5"/>
  <c r="B82" i="5" s="1"/>
  <c r="C81" i="5"/>
  <c r="B81" i="5" s="1"/>
  <c r="C80" i="5"/>
  <c r="B80" i="5" s="1"/>
  <c r="C79" i="5"/>
  <c r="B79" i="5" s="1"/>
  <c r="C78" i="5"/>
  <c r="B78" i="5" s="1"/>
  <c r="C77" i="5"/>
  <c r="B77" i="5" s="1"/>
  <c r="C76" i="5"/>
  <c r="B76" i="5" s="1"/>
  <c r="C75" i="5"/>
  <c r="B75" i="5" s="1"/>
  <c r="C74" i="5"/>
  <c r="B74" i="5" s="1"/>
  <c r="C73" i="5"/>
  <c r="B73" i="5" s="1"/>
  <c r="C72" i="5"/>
  <c r="B72" i="5" s="1"/>
  <c r="C71" i="5"/>
  <c r="B71" i="5" s="1"/>
  <c r="C70" i="5"/>
  <c r="B70" i="5" s="1"/>
  <c r="C69" i="5"/>
  <c r="B69" i="5" s="1"/>
  <c r="C68" i="5"/>
  <c r="B68" i="5" s="1"/>
  <c r="C67" i="5"/>
  <c r="B67" i="5" s="1"/>
  <c r="C66" i="5"/>
  <c r="B66" i="5" s="1"/>
  <c r="C65" i="5"/>
  <c r="B65" i="5" s="1"/>
  <c r="C64" i="5"/>
  <c r="B64" i="5" s="1"/>
  <c r="C63" i="5"/>
  <c r="B63" i="5" s="1"/>
  <c r="C62" i="5"/>
  <c r="B62" i="5" s="1"/>
  <c r="C61" i="5"/>
  <c r="B61" i="5" s="1"/>
  <c r="C60" i="5"/>
  <c r="B60" i="5" s="1"/>
  <c r="C59" i="5"/>
  <c r="B59" i="5" s="1"/>
  <c r="C58" i="5"/>
  <c r="B58" i="5" s="1"/>
  <c r="C57" i="5"/>
  <c r="B57" i="5" s="1"/>
  <c r="C56" i="5"/>
  <c r="B56" i="5" s="1"/>
  <c r="C55" i="5"/>
  <c r="B55" i="5" s="1"/>
  <c r="C54" i="5"/>
  <c r="B54" i="5" s="1"/>
  <c r="C53" i="5"/>
  <c r="B53" i="5" s="1"/>
  <c r="C52" i="5"/>
  <c r="B52" i="5" s="1"/>
  <c r="C51" i="5"/>
  <c r="B51" i="5" s="1"/>
  <c r="C50" i="5"/>
  <c r="B50" i="5" s="1"/>
  <c r="C49" i="5"/>
  <c r="B49" i="5" s="1"/>
  <c r="C48" i="5"/>
  <c r="B48" i="5" s="1"/>
  <c r="C47" i="5"/>
  <c r="B47" i="5" s="1"/>
  <c r="C46" i="5"/>
  <c r="B46" i="5" s="1"/>
  <c r="C45" i="5"/>
  <c r="B45" i="5" s="1"/>
  <c r="C44" i="5"/>
  <c r="B44" i="5" s="1"/>
  <c r="C43" i="5"/>
  <c r="B43" i="5" s="1"/>
  <c r="C42" i="5"/>
  <c r="B42" i="5" s="1"/>
  <c r="C41" i="5"/>
  <c r="B41" i="5" s="1"/>
  <c r="C40" i="5"/>
  <c r="B40" i="5" s="1"/>
  <c r="C39" i="5"/>
  <c r="B39" i="5" s="1"/>
  <c r="C38" i="5"/>
  <c r="B38" i="5" s="1"/>
  <c r="C37" i="5"/>
  <c r="B37" i="5"/>
  <c r="C36" i="5"/>
  <c r="B36" i="5" s="1"/>
  <c r="C35" i="5"/>
  <c r="B35" i="5"/>
  <c r="C34" i="5"/>
  <c r="B34" i="5" s="1"/>
  <c r="C33" i="5"/>
  <c r="B33" i="5" s="1"/>
  <c r="C32" i="5"/>
  <c r="B32" i="5" s="1"/>
  <c r="C31" i="5"/>
  <c r="B31" i="5" s="1"/>
  <c r="C30" i="5"/>
  <c r="B30" i="5" s="1"/>
  <c r="C29" i="5"/>
  <c r="B29" i="5" s="1"/>
  <c r="C28" i="5"/>
  <c r="B28" i="5" s="1"/>
  <c r="C27" i="5"/>
  <c r="B27" i="5" s="1"/>
  <c r="C26" i="5"/>
  <c r="B26" i="5"/>
  <c r="C25" i="5"/>
  <c r="B25" i="5" s="1"/>
  <c r="C24" i="5"/>
  <c r="B24" i="5" s="1"/>
  <c r="C23" i="5"/>
  <c r="B23" i="5" s="1"/>
  <c r="C22" i="5"/>
  <c r="B22" i="5" s="1"/>
  <c r="C21" i="5"/>
  <c r="B21" i="5" s="1"/>
  <c r="C20" i="5"/>
  <c r="B20" i="5" s="1"/>
  <c r="C19" i="5"/>
  <c r="B19" i="5"/>
  <c r="C18" i="5"/>
  <c r="B18" i="5" s="1"/>
  <c r="C17" i="5"/>
  <c r="B17" i="5" s="1"/>
  <c r="C16" i="5"/>
  <c r="B16" i="5" s="1"/>
  <c r="C15" i="5"/>
  <c r="B15" i="5" s="1"/>
  <c r="C14" i="5"/>
  <c r="B14" i="5" s="1"/>
  <c r="C13" i="5"/>
  <c r="B13" i="5" s="1"/>
  <c r="C12" i="5"/>
  <c r="B12" i="5" s="1"/>
  <c r="C11" i="5"/>
  <c r="B11" i="5" s="1"/>
  <c r="C10" i="5"/>
  <c r="B10" i="5" s="1"/>
  <c r="C9" i="5"/>
  <c r="B9" i="5" s="1"/>
  <c r="C8" i="5"/>
  <c r="B8" i="5" s="1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D14" i="3"/>
  <c r="E14" i="3" s="1"/>
  <c r="D10" i="3"/>
  <c r="E10" i="3" s="1"/>
  <c r="D7" i="3"/>
  <c r="E7" i="3" s="1"/>
  <c r="D6" i="3"/>
  <c r="E6" i="3" s="1"/>
  <c r="C13" i="2"/>
  <c r="C12" i="2"/>
</calcChain>
</file>

<file path=xl/sharedStrings.xml><?xml version="1.0" encoding="utf-8"?>
<sst xmlns="http://schemas.openxmlformats.org/spreadsheetml/2006/main" count="153" uniqueCount="147">
  <si>
    <t>BENCHMARK SETUP</t>
  </si>
  <si>
    <t>Enter benchmark names and date range. Names flow automatically to Bench_Returns and Blends.</t>
  </si>
  <si>
    <t>DATE RANGE</t>
  </si>
  <si>
    <t>Start Date</t>
  </si>
  <si>
    <t>First month-end of period</t>
  </si>
  <si>
    <t>End Date</t>
  </si>
  <si>
    <t>Last month-end of period</t>
  </si>
  <si>
    <t>[BLOCK:BENCH_SETUP]</t>
  </si>
  <si>
    <t>#</t>
  </si>
  <si>
    <t>BENCHMARK NAME</t>
  </si>
  <si>
    <t>GROUP</t>
  </si>
  <si>
    <t>S&amp;P 500</t>
  </si>
  <si>
    <t>US Equity</t>
  </si>
  <si>
    <t>MSCI EAFE</t>
  </si>
  <si>
    <t>Intl Equity</t>
  </si>
  <si>
    <t>MSCI Emerging Markets</t>
  </si>
  <si>
    <t>EM Equity</t>
  </si>
  <si>
    <t>MSCI ACWI</t>
  </si>
  <si>
    <t>Global Equity</t>
  </si>
  <si>
    <t>HFRI Macro</t>
  </si>
  <si>
    <t>Hedge Funds</t>
  </si>
  <si>
    <t>HFRI Fund of Funds</t>
  </si>
  <si>
    <t>Bloomberg US Agg</t>
  </si>
  <si>
    <t>Fixed Income</t>
  </si>
  <si>
    <t>US Treasuries</t>
  </si>
  <si>
    <t>3-Month T-Bill</t>
  </si>
  <si>
    <t>Cash</t>
  </si>
  <si>
    <t>BENCHMARK COMPARISON TEMPLATE</t>
  </si>
  <si>
    <t>Upload benchmark return series and custom blends to Rivara Insights</t>
  </si>
  <si>
    <t>1.</t>
  </si>
  <si>
    <t>Go to Bench_Setup. Enter benchmark names, optional groups, and the date range.</t>
  </si>
  <si>
    <t>2.</t>
  </si>
  <si>
    <t>Go to Bench_Returns. Enter monthly returns. Dates and names auto-populate from Bench_Setup.</t>
  </si>
  <si>
    <t>3.</t>
  </si>
  <si>
    <t>Go to Blends. Define custom blended benchmarks. Enter weights as decimals (0.60 = 60%). Must sum to 100%.</t>
  </si>
  <si>
    <t>4.</t>
  </si>
  <si>
    <t>Check the Checks tab — all items should show PASS.</t>
  </si>
  <si>
    <t>5.</t>
  </si>
  <si>
    <t>Upload to Rivara Insights.</t>
  </si>
  <si>
    <t>NOTES:</t>
  </si>
  <si>
    <t>Returns are entered as whole numbers (e.g. 5.0 = 5%). Leave blank for missing months.</t>
  </si>
  <si>
    <t>Blend weights are entered as decimals (e.g. 0.60 = 60%). Must sum to 1.00 (100%).</t>
  </si>
  <si>
    <t>Blue text = your input. Gray cells = formulas and labels — do not edit.</t>
  </si>
  <si>
    <t>Names on Bench_Setup flow automatically to Bench_Returns and Blends.</t>
  </si>
  <si>
    <t>Protected cells cannot be edited. Only white and blue input cells are unlocked.</t>
  </si>
  <si>
    <t>_CONFIG — MACHINE-READABLE METADATA</t>
  </si>
  <si>
    <t>[BLOCK:VERSION]</t>
  </si>
  <si>
    <t>data_type</t>
  </si>
  <si>
    <t>BENCHMARK_COMPARISON</t>
  </si>
  <si>
    <t>Benchmark-only upload — no portfolio required</t>
  </si>
  <si>
    <t>template_version</t>
  </si>
  <si>
    <t>1</t>
  </si>
  <si>
    <t>v1 — Benchmark comparison with blending</t>
  </si>
  <si>
    <t>max_benchmarks</t>
  </si>
  <si>
    <t>50</t>
  </si>
  <si>
    <t>Pre-built benchmark slots</t>
  </si>
  <si>
    <t>max_blends</t>
  </si>
  <si>
    <t>10</t>
  </si>
  <si>
    <t>Custom blend slots</t>
  </si>
  <si>
    <t>max_months</t>
  </si>
  <si>
    <t>180</t>
  </si>
  <si>
    <t>Pre-built month rows</t>
  </si>
  <si>
    <t>start_date</t>
  </si>
  <si>
    <t>Pulled from Bench_Setup</t>
  </si>
  <si>
    <t>end_date</t>
  </si>
  <si>
    <t>[BLOCK:SHEET_ANCHORS]</t>
  </si>
  <si>
    <t>Bench_Setup</t>
  </si>
  <si>
    <t>B10 tag; C12:C61 names, D12:D61 groups; E6/E7 dates</t>
  </si>
  <si>
    <t>Bench_Returns</t>
  </si>
  <si>
    <t>[BLOCK:BENCH_RETURN_MATRIX]</t>
  </si>
  <si>
    <t>B5 tag; Row5=names, Row6=group, Row7=hdr, 8+=data</t>
  </si>
  <si>
    <t>Blends</t>
  </si>
  <si>
    <t>[BLOCK:BLEND_SETUP]</t>
  </si>
  <si>
    <t>B4 tag; Row5=hdr, Row4=groups, 6-15=blend defs, weights as decimals summing to 1.0</t>
  </si>
  <si>
    <t>BENCHMARK COMPARISON CHECKLIST</t>
  </si>
  <si>
    <t>All checks must pass before uploading to Rivara Insights</t>
  </si>
  <si>
    <t>SETUP</t>
  </si>
  <si>
    <t>At least 1 benchmark defined</t>
  </si>
  <si>
    <t>Date range valid</t>
  </si>
  <si>
    <t>RETURNS</t>
  </si>
  <si>
    <t>At least 1 benchmark has return data</t>
  </si>
  <si>
    <t>BLENDS</t>
  </si>
  <si>
    <t>All named blends sum to 100%</t>
  </si>
  <si>
    <t>Blend weights only on named benchmarks</t>
  </si>
  <si>
    <t>BENCHMARK RETURNS  (Monthly)</t>
  </si>
  <si>
    <t>Returns as whole numbers (e.g. 5.0 = 5%). Leave blank if no data — do not enter 0.</t>
  </si>
  <si>
    <t>[GROUP]</t>
  </si>
  <si>
    <t>[ROW TAG]</t>
  </si>
  <si>
    <t>DATE</t>
  </si>
  <si>
    <t>BENCH_01</t>
  </si>
  <si>
    <t>BENCH_02</t>
  </si>
  <si>
    <t>BENCH_03</t>
  </si>
  <si>
    <t>BENCH_04</t>
  </si>
  <si>
    <t>BENCH_05</t>
  </si>
  <si>
    <t>BENCH_06</t>
  </si>
  <si>
    <t>BENCH_07</t>
  </si>
  <si>
    <t>BENCH_08</t>
  </si>
  <si>
    <t>BENCH_09</t>
  </si>
  <si>
    <t>BENCH_10</t>
  </si>
  <si>
    <t>BENCH_11</t>
  </si>
  <si>
    <t>BENCH_12</t>
  </si>
  <si>
    <t>BENCH_13</t>
  </si>
  <si>
    <t>BENCH_14</t>
  </si>
  <si>
    <t>BENCH_15</t>
  </si>
  <si>
    <t>BENCH_16</t>
  </si>
  <si>
    <t>BENCH_17</t>
  </si>
  <si>
    <t>BENCH_18</t>
  </si>
  <si>
    <t>BENCH_19</t>
  </si>
  <si>
    <t>BENCH_20</t>
  </si>
  <si>
    <t>BENCH_21</t>
  </si>
  <si>
    <t>BENCH_22</t>
  </si>
  <si>
    <t>BENCH_23</t>
  </si>
  <si>
    <t>BENCH_24</t>
  </si>
  <si>
    <t>BENCH_25</t>
  </si>
  <si>
    <t>BENCH_26</t>
  </si>
  <si>
    <t>BENCH_27</t>
  </si>
  <si>
    <t>BENCH_28</t>
  </si>
  <si>
    <t>BENCH_29</t>
  </si>
  <si>
    <t>BENCH_30</t>
  </si>
  <si>
    <t>BENCH_31</t>
  </si>
  <si>
    <t>BENCH_32</t>
  </si>
  <si>
    <t>BENCH_33</t>
  </si>
  <si>
    <t>BENCH_34</t>
  </si>
  <si>
    <t>BENCH_35</t>
  </si>
  <si>
    <t>BENCH_36</t>
  </si>
  <si>
    <t>BENCH_37</t>
  </si>
  <si>
    <t>BENCH_38</t>
  </si>
  <si>
    <t>BENCH_39</t>
  </si>
  <si>
    <t>BENCH_40</t>
  </si>
  <si>
    <t>BENCH_41</t>
  </si>
  <si>
    <t>BENCH_42</t>
  </si>
  <si>
    <t>BENCH_43</t>
  </si>
  <si>
    <t>BENCH_44</t>
  </si>
  <si>
    <t>BENCH_45</t>
  </si>
  <si>
    <t>BENCH_46</t>
  </si>
  <si>
    <t>BENCH_47</t>
  </si>
  <si>
    <t>BENCH_48</t>
  </si>
  <si>
    <t>BENCH_49</t>
  </si>
  <si>
    <t>BENCH_50</t>
  </si>
  <si>
    <t>CUSTOM BENCHMARK BLENDS</t>
  </si>
  <si>
    <t>Enter weights as decimals (0.60 = 60%). Each blend must sum to 1.00 (100%).</t>
  </si>
  <si>
    <t>BLEND NAME</t>
  </si>
  <si>
    <t>SUM</t>
  </si>
  <si>
    <t>CHECK</t>
  </si>
  <si>
    <t>60 ACWI/40 BBG Agg</t>
  </si>
  <si>
    <t>70 ACWI/30 BBG Agg</t>
  </si>
  <si>
    <t>Endowment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</si>
</sst>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14"/>
      <color rgb="FF1A3D2B"/>
      <name val="Arial"/>
      <family val="2"/>
    </font>
    <font>
      <sz val="10"/>
      <color rgb="FF5A6A7E"/>
      <name val="Arial"/>
      <family val="2"/>
    </font>
    <font>
      <b/>
      <sz val="10"/>
      <color rgb="FF1A3D2B"/>
      <name val="Arial"/>
      <family val="2"/>
    </font>
    <font>
      <sz val="10"/>
      <name val="Arial"/>
      <family val="2"/>
    </font>
    <font>
      <i/>
      <sz val="9"/>
      <color rgb="FFCC6600"/>
      <name val="Arial"/>
      <family val="2"/>
    </font>
    <font>
      <sz val="9"/>
      <color rgb="FF888888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  <font>
      <sz val="10"/>
      <color rgb="FF999999"/>
      <name val="Arial"/>
      <family val="2"/>
    </font>
    <font>
      <i/>
      <sz val="8"/>
      <color rgb="FF999999"/>
      <name val="Arial"/>
      <family val="2"/>
    </font>
    <font>
      <i/>
      <sz val="7"/>
      <color rgb="FFAAAAAA"/>
      <name val="Arial"/>
      <family val="2"/>
    </font>
    <font>
      <b/>
      <sz val="8"/>
      <color rgb="FFFFFFFF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A3D2B"/>
      </patternFill>
    </fill>
    <fill>
      <patternFill patternType="solid">
        <fgColor rgb="FFEBEDF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6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DDDDDD"/>
      </right>
      <top style="thin">
        <color theme="0" tint="-0.249977111117893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theme="0" tint="-0.249977111117893"/>
      </top>
      <bottom style="thin">
        <color rgb="FFDDDDDD"/>
      </bottom>
      <diagonal/>
    </border>
    <border>
      <left style="thin">
        <color rgb="FFDDDDDD"/>
      </left>
      <right style="thin">
        <color theme="0" tint="-0.249977111117893"/>
      </right>
      <top style="thin">
        <color theme="0" tint="-0.249977111117893"/>
      </top>
      <bottom style="thin">
        <color rgb="FFDDDDDD"/>
      </bottom>
      <diagonal/>
    </border>
    <border>
      <left style="thin">
        <color theme="0" tint="-0.249977111117893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theme="0" tint="-0.249977111117893"/>
      </right>
      <top style="thin">
        <color rgb="FFDDDDDD"/>
      </top>
      <bottom style="thin">
        <color rgb="FFDDDDDD"/>
      </bottom>
      <diagonal/>
    </border>
    <border>
      <left style="thin">
        <color theme="0" tint="-0.249977111117893"/>
      </left>
      <right style="thin">
        <color rgb="FFDDDDDD"/>
      </right>
      <top style="thin">
        <color rgb="FFDDDDDD"/>
      </top>
      <bottom style="thin">
        <color theme="0" tint="-0.249977111117893"/>
      </bottom>
      <diagonal/>
    </border>
    <border>
      <left style="thin">
        <color rgb="FFDDDDDD"/>
      </left>
      <right style="thin">
        <color theme="0" tint="-0.249977111117893"/>
      </right>
      <top style="thin">
        <color rgb="FFDDDDDD"/>
      </top>
      <bottom style="thin">
        <color theme="0" tint="-0.249977111117893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rgb="FFDDDDDD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rgb="FFDDDDDD"/>
      </top>
      <bottom style="thin">
        <color rgb="FFDDDDDD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rgb="FFDDDDDD"/>
      </top>
      <bottom style="thin">
        <color theme="0" tint="-0.249977111117893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4" borderId="0" xfId="0" applyFill="1"/>
    <xf numFmtId="0" fontId="1" fillId="5" borderId="2" xfId="0" applyFont="1" applyFill="1" applyBorder="1"/>
    <xf numFmtId="0" fontId="0" fillId="5" borderId="3" xfId="0" applyFill="1" applyBorder="1"/>
    <xf numFmtId="0" fontId="2" fillId="5" borderId="4" xfId="0" applyFont="1" applyFill="1" applyBorder="1"/>
    <xf numFmtId="0" fontId="0" fillId="5" borderId="5" xfId="0" applyFill="1" applyBorder="1"/>
    <xf numFmtId="0" fontId="0" fillId="5" borderId="4" xfId="0" applyFill="1" applyBorder="1"/>
    <xf numFmtId="0" fontId="3" fillId="5" borderId="4" xfId="0" applyFont="1" applyFill="1" applyBorder="1" applyAlignment="1">
      <alignment horizontal="center"/>
    </xf>
    <xf numFmtId="0" fontId="4" fillId="5" borderId="5" xfId="0" applyFont="1" applyFill="1" applyBorder="1"/>
    <xf numFmtId="0" fontId="4" fillId="5" borderId="4" xfId="0" applyFont="1" applyFill="1" applyBorder="1"/>
    <xf numFmtId="0" fontId="5" fillId="5" borderId="5" xfId="0" applyFont="1" applyFill="1" applyBorder="1"/>
    <xf numFmtId="0" fontId="4" fillId="5" borderId="6" xfId="0" applyFont="1" applyFill="1" applyBorder="1"/>
    <xf numFmtId="0" fontId="5" fillId="5" borderId="7" xfId="0" applyFont="1" applyFill="1" applyBorder="1"/>
    <xf numFmtId="0" fontId="0" fillId="5" borderId="8" xfId="0" applyFill="1" applyBorder="1"/>
    <xf numFmtId="0" fontId="2" fillId="5" borderId="0" xfId="0" applyFont="1" applyFill="1"/>
    <xf numFmtId="0" fontId="0" fillId="5" borderId="0" xfId="0" applyFill="1"/>
    <xf numFmtId="0" fontId="3" fillId="5" borderId="4" xfId="0" applyFont="1" applyFill="1" applyBorder="1"/>
    <xf numFmtId="0" fontId="4" fillId="5" borderId="0" xfId="0" applyFont="1" applyFill="1"/>
    <xf numFmtId="0" fontId="13" fillId="5" borderId="0" xfId="0" applyFont="1" applyFill="1"/>
    <xf numFmtId="0" fontId="6" fillId="5" borderId="5" xfId="0" applyFont="1" applyFill="1" applyBorder="1"/>
    <xf numFmtId="0" fontId="0" fillId="5" borderId="6" xfId="0" applyFill="1" applyBorder="1"/>
    <xf numFmtId="0" fontId="0" fillId="5" borderId="9" xfId="0" applyFill="1" applyBorder="1"/>
    <xf numFmtId="0" fontId="0" fillId="5" borderId="7" xfId="0" applyFill="1" applyBorder="1"/>
    <xf numFmtId="0" fontId="3" fillId="5" borderId="0" xfId="0" applyFont="1" applyFill="1"/>
    <xf numFmtId="0" fontId="6" fillId="5" borderId="0" xfId="0" applyFont="1" applyFill="1"/>
    <xf numFmtId="0" fontId="6" fillId="4" borderId="0" xfId="0" applyFont="1" applyFill="1"/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1" fillId="5" borderId="0" xfId="0" applyFont="1" applyFill="1"/>
    <xf numFmtId="0" fontId="8" fillId="4" borderId="1" xfId="0" applyFont="1" applyFill="1" applyBorder="1"/>
    <xf numFmtId="0" fontId="10" fillId="5" borderId="6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0" fillId="4" borderId="6" xfId="0" applyFill="1" applyBorder="1"/>
    <xf numFmtId="0" fontId="0" fillId="4" borderId="9" xfId="0" applyFill="1" applyBorder="1"/>
    <xf numFmtId="0" fontId="0" fillId="4" borderId="7" xfId="0" applyFill="1" applyBorder="1"/>
    <xf numFmtId="0" fontId="5" fillId="5" borderId="6" xfId="0" applyFont="1" applyFill="1" applyBorder="1"/>
    <xf numFmtId="0" fontId="0" fillId="4" borderId="8" xfId="0" applyFill="1" applyBorder="1"/>
    <xf numFmtId="0" fontId="0" fillId="4" borderId="3" xfId="0" applyFill="1" applyBorder="1"/>
    <xf numFmtId="0" fontId="0" fillId="4" borderId="5" xfId="0" applyFill="1" applyBorder="1"/>
    <xf numFmtId="2" fontId="4" fillId="6" borderId="1" xfId="0" applyNumberFormat="1" applyFont="1" applyFill="1" applyBorder="1" applyAlignment="1" applyProtection="1">
      <alignment horizontal="center" vertical="center"/>
      <protection locked="0"/>
    </xf>
    <xf numFmtId="2" fontId="0" fillId="6" borderId="1" xfId="0" applyNumberFormat="1" applyFill="1" applyBorder="1" applyAlignment="1" applyProtection="1">
      <alignment horizontal="center" vertical="center"/>
      <protection locked="0"/>
    </xf>
    <xf numFmtId="2" fontId="4" fillId="6" borderId="20" xfId="0" applyNumberFormat="1" applyFont="1" applyFill="1" applyBorder="1" applyAlignment="1" applyProtection="1">
      <alignment horizontal="center" vertical="center"/>
      <protection locked="0"/>
    </xf>
    <xf numFmtId="2" fontId="0" fillId="6" borderId="20" xfId="0" applyNumberFormat="1" applyFill="1" applyBorder="1" applyAlignment="1" applyProtection="1">
      <alignment horizontal="center" vertical="center"/>
      <protection locked="0"/>
    </xf>
    <xf numFmtId="164" fontId="4" fillId="5" borderId="22" xfId="0" applyNumberFormat="1" applyFont="1" applyFill="1" applyBorder="1"/>
    <xf numFmtId="164" fontId="4" fillId="5" borderId="23" xfId="0" applyNumberFormat="1" applyFont="1" applyFill="1" applyBorder="1"/>
    <xf numFmtId="164" fontId="4" fillId="5" borderId="24" xfId="0" applyNumberFormat="1" applyFont="1" applyFill="1" applyBorder="1"/>
    <xf numFmtId="0" fontId="8" fillId="7" borderId="21" xfId="0" applyFont="1" applyFill="1" applyBorder="1"/>
    <xf numFmtId="0" fontId="8" fillId="7" borderId="19" xfId="0" applyFont="1" applyFill="1" applyBorder="1" applyAlignment="1">
      <alignment horizontal="center" vertical="center"/>
    </xf>
    <xf numFmtId="0" fontId="14" fillId="5" borderId="2" xfId="0" applyFont="1" applyFill="1" applyBorder="1"/>
    <xf numFmtId="0" fontId="14" fillId="5" borderId="8" xfId="0" applyFont="1" applyFill="1" applyBorder="1"/>
    <xf numFmtId="0" fontId="14" fillId="5" borderId="3" xfId="0" applyFont="1" applyFill="1" applyBorder="1"/>
    <xf numFmtId="165" fontId="15" fillId="6" borderId="1" xfId="0" applyNumberFormat="1" applyFont="1" applyFill="1" applyBorder="1" applyAlignment="1" applyProtection="1">
      <alignment horizontal="center" vertical="center"/>
      <protection locked="0"/>
    </xf>
    <xf numFmtId="165" fontId="16" fillId="6" borderId="1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8" fillId="7" borderId="12" xfId="0" applyFont="1" applyFill="1" applyBorder="1"/>
    <xf numFmtId="0" fontId="12" fillId="7" borderId="13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15" fillId="6" borderId="15" xfId="0" applyFont="1" applyFill="1" applyBorder="1" applyProtection="1">
      <protection locked="0"/>
    </xf>
    <xf numFmtId="0" fontId="16" fillId="6" borderId="16" xfId="0" applyFont="1" applyFill="1" applyBorder="1" applyAlignment="1">
      <alignment horizontal="center" vertical="center"/>
    </xf>
    <xf numFmtId="0" fontId="15" fillId="6" borderId="17" xfId="0" applyFont="1" applyFill="1" applyBorder="1" applyProtection="1">
      <protection locked="0"/>
    </xf>
    <xf numFmtId="165" fontId="15" fillId="6" borderId="10" xfId="0" applyNumberFormat="1" applyFont="1" applyFill="1" applyBorder="1" applyAlignment="1" applyProtection="1">
      <alignment horizontal="center" vertical="center"/>
      <protection locked="0"/>
    </xf>
    <xf numFmtId="165" fontId="16" fillId="6" borderId="10" xfId="0" applyNumberFormat="1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164" fontId="7" fillId="5" borderId="11" xfId="0" applyNumberFormat="1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Protection="1">
      <protection locked="0"/>
    </xf>
    <xf numFmtId="0" fontId="7" fillId="5" borderId="16" xfId="0" applyFont="1" applyFill="1" applyBorder="1" applyProtection="1">
      <protection locked="0"/>
    </xf>
    <xf numFmtId="0" fontId="7" fillId="5" borderId="10" xfId="0" applyFont="1" applyFill="1" applyBorder="1" applyProtection="1">
      <protection locked="0"/>
    </xf>
    <xf numFmtId="0" fontId="7" fillId="5" borderId="18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</sheetPr>
  <dimension ref="B2:C22"/>
  <sheetViews>
    <sheetView tabSelected="1" workbookViewId="0">
      <selection activeCell="C37" sqref="C37"/>
    </sheetView>
  </sheetViews>
  <sheetFormatPr baseColWidth="10" defaultColWidth="8.83203125" defaultRowHeight="15" x14ac:dyDescent="0.2"/>
  <cols>
    <col min="1" max="1" width="8.83203125" style="1" customWidth="1"/>
    <col min="2" max="2" width="5" style="1" customWidth="1"/>
    <col min="3" max="3" width="95" style="1" customWidth="1"/>
    <col min="4" max="4" width="8.83203125" style="1" customWidth="1"/>
    <col min="5" max="16384" width="8.83203125" style="1"/>
  </cols>
  <sheetData>
    <row r="2" spans="2:3" ht="18" customHeight="1" x14ac:dyDescent="0.2">
      <c r="B2" s="2" t="s">
        <v>27</v>
      </c>
      <c r="C2" s="3"/>
    </row>
    <row r="3" spans="2:3" x14ac:dyDescent="0.2">
      <c r="B3" s="4" t="s">
        <v>28</v>
      </c>
      <c r="C3" s="5"/>
    </row>
    <row r="4" spans="2:3" x14ac:dyDescent="0.2">
      <c r="B4" s="6"/>
      <c r="C4" s="5"/>
    </row>
    <row r="5" spans="2:3" x14ac:dyDescent="0.2">
      <c r="B5" s="7" t="s">
        <v>29</v>
      </c>
      <c r="C5" s="8" t="s">
        <v>30</v>
      </c>
    </row>
    <row r="6" spans="2:3" x14ac:dyDescent="0.2">
      <c r="B6" s="7" t="s">
        <v>31</v>
      </c>
      <c r="C6" s="8" t="s">
        <v>32</v>
      </c>
    </row>
    <row r="7" spans="2:3" x14ac:dyDescent="0.2">
      <c r="B7" s="7" t="s">
        <v>33</v>
      </c>
      <c r="C7" s="8" t="s">
        <v>34</v>
      </c>
    </row>
    <row r="8" spans="2:3" x14ac:dyDescent="0.2">
      <c r="B8" s="7" t="s">
        <v>35</v>
      </c>
      <c r="C8" s="8" t="s">
        <v>36</v>
      </c>
    </row>
    <row r="9" spans="2:3" x14ac:dyDescent="0.2">
      <c r="B9" s="7" t="s">
        <v>37</v>
      </c>
      <c r="C9" s="8" t="s">
        <v>38</v>
      </c>
    </row>
    <row r="10" spans="2:3" x14ac:dyDescent="0.2">
      <c r="B10" s="9"/>
      <c r="C10" s="10"/>
    </row>
    <row r="11" spans="2:3" x14ac:dyDescent="0.2">
      <c r="B11" s="9"/>
      <c r="C11" s="10" t="s">
        <v>39</v>
      </c>
    </row>
    <row r="12" spans="2:3" x14ac:dyDescent="0.2">
      <c r="B12" s="9"/>
      <c r="C12" s="10" t="s">
        <v>40</v>
      </c>
    </row>
    <row r="13" spans="2:3" x14ac:dyDescent="0.2">
      <c r="B13" s="9"/>
      <c r="C13" s="10" t="s">
        <v>41</v>
      </c>
    </row>
    <row r="14" spans="2:3" x14ac:dyDescent="0.2">
      <c r="B14" s="9"/>
      <c r="C14" s="10" t="s">
        <v>42</v>
      </c>
    </row>
    <row r="15" spans="2:3" x14ac:dyDescent="0.2">
      <c r="B15" s="9"/>
      <c r="C15" s="10" t="s">
        <v>43</v>
      </c>
    </row>
    <row r="16" spans="2:3" x14ac:dyDescent="0.2">
      <c r="B16" s="9"/>
      <c r="C16" s="10" t="s">
        <v>44</v>
      </c>
    </row>
    <row r="17" spans="2:3" x14ac:dyDescent="0.2">
      <c r="B17" s="9"/>
      <c r="C17" s="10"/>
    </row>
    <row r="18" spans="2:3" x14ac:dyDescent="0.2">
      <c r="B18" s="9"/>
      <c r="C18" s="10"/>
    </row>
    <row r="19" spans="2:3" x14ac:dyDescent="0.2">
      <c r="B19" s="9"/>
      <c r="C19" s="10"/>
    </row>
    <row r="20" spans="2:3" x14ac:dyDescent="0.2">
      <c r="B20" s="9"/>
      <c r="C20" s="10"/>
    </row>
    <row r="21" spans="2:3" x14ac:dyDescent="0.2">
      <c r="B21" s="9"/>
      <c r="C21" s="10"/>
    </row>
    <row r="22" spans="2:3" x14ac:dyDescent="0.2">
      <c r="B22" s="11"/>
      <c r="C22" s="12"/>
    </row>
  </sheetData>
  <sheetProtection sheet="1" formatCells="0" formatColumns="0" formatRows="0" sort="0" autoFilter="0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9"/>
  <sheetViews>
    <sheetView workbookViewId="0">
      <selection activeCell="C24" sqref="C24"/>
    </sheetView>
  </sheetViews>
  <sheetFormatPr baseColWidth="10" defaultColWidth="8.83203125" defaultRowHeight="15" x14ac:dyDescent="0.2"/>
  <cols>
    <col min="1" max="1" width="8.83203125" style="15" customWidth="1"/>
    <col min="2" max="2" width="22" style="15" customWidth="1"/>
    <col min="3" max="3" width="35" style="15" customWidth="1"/>
    <col min="4" max="4" width="65" style="15" customWidth="1"/>
    <col min="5" max="5" width="8.83203125" style="15" customWidth="1"/>
    <col min="6" max="16384" width="8.83203125" style="15"/>
  </cols>
  <sheetData>
    <row r="2" spans="2:4" ht="18" customHeight="1" x14ac:dyDescent="0.2">
      <c r="B2" s="31" t="s">
        <v>45</v>
      </c>
    </row>
    <row r="5" spans="2:4" x14ac:dyDescent="0.2">
      <c r="B5" s="24" t="s">
        <v>46</v>
      </c>
    </row>
    <row r="7" spans="2:4" x14ac:dyDescent="0.2">
      <c r="B7" s="17" t="s">
        <v>47</v>
      </c>
      <c r="C7" s="17" t="s">
        <v>48</v>
      </c>
      <c r="D7" s="24" t="s">
        <v>49</v>
      </c>
    </row>
    <row r="8" spans="2:4" x14ac:dyDescent="0.2">
      <c r="B8" s="17" t="s">
        <v>50</v>
      </c>
      <c r="C8" s="17" t="s">
        <v>51</v>
      </c>
      <c r="D8" s="24" t="s">
        <v>52</v>
      </c>
    </row>
    <row r="9" spans="2:4" x14ac:dyDescent="0.2">
      <c r="B9" s="17" t="s">
        <v>53</v>
      </c>
      <c r="C9" s="17" t="s">
        <v>54</v>
      </c>
      <c r="D9" s="24" t="s">
        <v>55</v>
      </c>
    </row>
    <row r="10" spans="2:4" x14ac:dyDescent="0.2">
      <c r="B10" s="17" t="s">
        <v>56</v>
      </c>
      <c r="C10" s="17" t="s">
        <v>57</v>
      </c>
      <c r="D10" s="24" t="s">
        <v>58</v>
      </c>
    </row>
    <row r="11" spans="2:4" x14ac:dyDescent="0.2">
      <c r="B11" s="17" t="s">
        <v>59</v>
      </c>
      <c r="C11" s="17" t="s">
        <v>60</v>
      </c>
      <c r="D11" s="24" t="s">
        <v>61</v>
      </c>
    </row>
    <row r="12" spans="2:4" x14ac:dyDescent="0.2">
      <c r="B12" s="17" t="s">
        <v>62</v>
      </c>
      <c r="C12" s="17">
        <f>Bench_Setup!E6</f>
        <v>42400</v>
      </c>
      <c r="D12" s="24" t="s">
        <v>63</v>
      </c>
    </row>
    <row r="13" spans="2:4" x14ac:dyDescent="0.2">
      <c r="B13" s="17" t="s">
        <v>64</v>
      </c>
      <c r="C13" s="17">
        <f>Bench_Setup!E7</f>
        <v>46022</v>
      </c>
      <c r="D13" s="24" t="s">
        <v>63</v>
      </c>
    </row>
    <row r="16" spans="2:4" x14ac:dyDescent="0.2">
      <c r="B16" s="24" t="s">
        <v>65</v>
      </c>
    </row>
    <row r="17" spans="2:4" x14ac:dyDescent="0.2">
      <c r="B17" s="17" t="s">
        <v>66</v>
      </c>
      <c r="C17" s="17" t="s">
        <v>7</v>
      </c>
      <c r="D17" s="24" t="s">
        <v>67</v>
      </c>
    </row>
    <row r="18" spans="2:4" x14ac:dyDescent="0.2">
      <c r="B18" s="17" t="s">
        <v>68</v>
      </c>
      <c r="C18" s="17" t="s">
        <v>69</v>
      </c>
      <c r="D18" s="24" t="s">
        <v>70</v>
      </c>
    </row>
    <row r="19" spans="2:4" x14ac:dyDescent="0.2">
      <c r="B19" s="17" t="s">
        <v>71</v>
      </c>
      <c r="C19" s="17" t="s">
        <v>72</v>
      </c>
      <c r="D19" s="24" t="s">
        <v>73</v>
      </c>
    </row>
  </sheetData>
  <sheetProtection sheet="1" formatCells="0" formatColumns="0" formatRows="0" sort="0" autoFilter="0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6"/>
  <sheetViews>
    <sheetView workbookViewId="0">
      <selection activeCell="E8" sqref="E8"/>
    </sheetView>
  </sheetViews>
  <sheetFormatPr baseColWidth="10" defaultColWidth="8.83203125" defaultRowHeight="15" x14ac:dyDescent="0.2"/>
  <cols>
    <col min="1" max="1" width="8.83203125" style="1" customWidth="1"/>
    <col min="2" max="2" width="12" style="1" customWidth="1"/>
    <col min="3" max="3" width="37.83203125" style="1" customWidth="1"/>
    <col min="4" max="4" width="9.1640625" style="1" customWidth="1"/>
    <col min="5" max="5" width="55" style="1" customWidth="1"/>
    <col min="6" max="6" width="8.83203125" style="1" customWidth="1"/>
    <col min="7" max="16384" width="8.83203125" style="1"/>
  </cols>
  <sheetData>
    <row r="2" spans="2:5" ht="18" customHeight="1" x14ac:dyDescent="0.2">
      <c r="B2" s="2" t="s">
        <v>74</v>
      </c>
      <c r="C2" s="13"/>
      <c r="D2" s="13"/>
      <c r="E2" s="3"/>
    </row>
    <row r="3" spans="2:5" x14ac:dyDescent="0.2">
      <c r="B3" s="6"/>
      <c r="C3" s="14" t="s">
        <v>75</v>
      </c>
      <c r="D3" s="15"/>
      <c r="E3" s="5"/>
    </row>
    <row r="4" spans="2:5" x14ac:dyDescent="0.2">
      <c r="B4" s="6"/>
      <c r="C4" s="15"/>
      <c r="D4" s="15"/>
      <c r="E4" s="5"/>
    </row>
    <row r="5" spans="2:5" x14ac:dyDescent="0.2">
      <c r="B5" s="16" t="s">
        <v>76</v>
      </c>
      <c r="C5" s="15"/>
      <c r="D5" s="15"/>
      <c r="E5" s="5"/>
    </row>
    <row r="6" spans="2:5" x14ac:dyDescent="0.2">
      <c r="B6" s="6"/>
      <c r="C6" s="17" t="s">
        <v>77</v>
      </c>
      <c r="D6" s="18" t="str">
        <f>IF(COUNTA(Bench_Setup!C12:C61)&gt;0,"PASS","FAIL")</f>
        <v>PASS</v>
      </c>
      <c r="E6" s="19" t="str">
        <f>IF(D6="PASS",COUNTA(Bench_Setup!C12:C61)&amp;" benchmarks","Add benchmarks on Bench_Setup")</f>
        <v>9 benchmarks</v>
      </c>
    </row>
    <row r="7" spans="2:5" x14ac:dyDescent="0.2">
      <c r="B7" s="6"/>
      <c r="C7" s="17" t="s">
        <v>78</v>
      </c>
      <c r="D7" s="18" t="str">
        <f>IF(AND(Bench_Setup!E6&lt;&gt;"",Bench_Setup!E7&lt;&gt;"",Bench_Setup!E7&gt;Bench_Setup!E6),"PASS","FAIL")</f>
        <v>PASS</v>
      </c>
      <c r="E7" s="19" t="str">
        <f>IF(D7="PASS",TEXT(Bench_Setup!E6,"MMM YYYY")&amp;" – "&amp;TEXT(Bench_Setup!E7,"MMM YYYY"),"Set valid dates on Bench_Setup (end must be after start)")</f>
        <v>Jan 2016 – Dec 2025</v>
      </c>
    </row>
    <row r="8" spans="2:5" x14ac:dyDescent="0.2">
      <c r="B8" s="6"/>
      <c r="C8" s="15"/>
      <c r="D8" s="15"/>
      <c r="E8" s="5"/>
    </row>
    <row r="9" spans="2:5" x14ac:dyDescent="0.2">
      <c r="B9" s="16" t="s">
        <v>79</v>
      </c>
      <c r="C9" s="15"/>
      <c r="D9" s="15"/>
      <c r="E9" s="5"/>
    </row>
    <row r="10" spans="2:5" x14ac:dyDescent="0.2">
      <c r="B10" s="6"/>
      <c r="C10" s="17" t="s">
        <v>80</v>
      </c>
      <c r="D10" s="18" t="str">
        <f>IF(COUNTA(Bench_Returns!D8:D187)&gt;0,"PASS","FAIL")</f>
        <v>PASS</v>
      </c>
      <c r="E10" s="19" t="str">
        <f>IF(D10="PASS","Data found","Enter returns on Bench_Returns")</f>
        <v>Data found</v>
      </c>
    </row>
    <row r="11" spans="2:5" x14ac:dyDescent="0.2">
      <c r="B11" s="6"/>
      <c r="C11" s="17"/>
      <c r="D11" s="18"/>
      <c r="E11" s="19"/>
    </row>
    <row r="12" spans="2:5" x14ac:dyDescent="0.2">
      <c r="B12" s="6" t="s">
        <v>81</v>
      </c>
      <c r="C12" s="15"/>
      <c r="D12" s="15"/>
      <c r="E12" s="5"/>
    </row>
    <row r="13" spans="2:5" x14ac:dyDescent="0.2">
      <c r="B13" s="16"/>
      <c r="C13" s="15" t="s">
        <v>82</v>
      </c>
      <c r="D13" s="15" t="str">
        <f>IF(COUNTIF(Blends!BC6:BC15,"≠ 100%")=0,"PASS","FAIL")</f>
        <v>PASS</v>
      </c>
      <c r="E13" s="5" t="str">
        <f>IF(D13="PASS","All valid","Some blends don't sum to 100% — check Blends sheet")</f>
        <v>All valid</v>
      </c>
    </row>
    <row r="14" spans="2:5" x14ac:dyDescent="0.2">
      <c r="B14" s="6"/>
      <c r="C14" s="17" t="s">
        <v>83</v>
      </c>
      <c r="D14" s="18" t="str">
        <f>IF((SUMPRODUCT((Blends!C6:C15&lt;&gt;"")*(Blends!D6:D15&gt;0)*(Bench_Setup!C12=""))+SUMPRODUCT((Blends!C6:C15&lt;&gt;"")*(Blends!E6:E15&gt;0)*(Bench_Setup!C13=""))+SUMPRODUCT((Blends!C6:C15&lt;&gt;"")*(Blends!F6:F15&gt;0)*(Bench_Setup!C14=""))+SUMPRODUCT((Blends!C6:C15&lt;&gt;"")*(Blends!G6:G15&gt;0)*(Bench_Setup!C15=""))+SUMPRODUCT((Blends!C6:C15&lt;&gt;"")*(Blends!H6:H15&gt;0)*(Bench_Setup!C16=""))+SUMPRODUCT((Blends!C6:C15&lt;&gt;"")*(Blends!I6:I15&gt;0)*(Bench_Setup!C17=""))+SUMPRODUCT((Blends!C6:C15&lt;&gt;"")*(Blends!J6:J15&gt;0)*(Bench_Setup!C18=""))+SUMPRODUCT((Blends!C6:C15&lt;&gt;"")*(Blends!K6:K15&gt;0)*(Bench_Setup!C19=""))+SUMPRODUCT((Blends!C6:C15&lt;&gt;"")*(Blends!L6:L15&gt;0)*(Bench_Setup!C20=""))+SUMPRODUCT((Blends!C6:C15&lt;&gt;"")*(Blends!M6:M15&gt;0)*(Bench_Setup!C21=""))+SUMPRODUCT((Blends!C6:C15&lt;&gt;"")*(Blends!N6:N15&gt;0)*(Bench_Setup!C22=""))+SUMPRODUCT((Blends!C6:C15&lt;&gt;"")*(Blends!O6:O15&gt;0)*(Bench_Setup!C23=""))+SUMPRODUCT((Blends!C6:C15&lt;&gt;"")*(Blends!P6:P15&gt;0)*(Bench_Setup!C24=""))+SUMPRODUCT((Blends!C6:C15&lt;&gt;"")*(Blends!Q6:Q15&gt;0)*(Bench_Setup!C25=""))+SUMPRODUCT((Blends!C6:C15&lt;&gt;"")*(Blends!R6:R15&gt;0)*(Bench_Setup!C26=""))+SUMPRODUCT((Blends!C6:C15&lt;&gt;"")*(Blends!S6:S15&gt;0)*(Bench_Setup!C27=""))+SUMPRODUCT((Blends!C6:C15&lt;&gt;"")*(Blends!T6:T15&gt;0)*(Bench_Setup!C28=""))+SUMPRODUCT((Blends!C6:C15&lt;&gt;"")*(Blends!U6:U15&gt;0)*(Bench_Setup!C29=""))+SUMPRODUCT((Blends!C6:C15&lt;&gt;"")*(Blends!V6:V15&gt;0)*(Bench_Setup!C30=""))+SUMPRODUCT((Blends!C6:C15&lt;&gt;"")*(Blends!W6:W15&gt;0)*(Bench_Setup!C31="")))=0,"PASS","WARN")</f>
        <v>PASS</v>
      </c>
      <c r="E14" s="19" t="str">
        <f>IF(D14="PASS","All weights reference named benchmarks","Some blend weights are on empty benchmark slots")</f>
        <v>All weights reference named benchmarks</v>
      </c>
    </row>
    <row r="15" spans="2:5" x14ac:dyDescent="0.2">
      <c r="B15" s="6"/>
      <c r="C15" s="15"/>
      <c r="D15" s="15"/>
      <c r="E15" s="5"/>
    </row>
    <row r="16" spans="2:5" x14ac:dyDescent="0.2">
      <c r="B16" s="20"/>
      <c r="C16" s="21"/>
      <c r="D16" s="21"/>
      <c r="E16" s="22"/>
    </row>
  </sheetData>
  <sheetProtection sheet="1" formatCells="0" formatColumns="0" formatRows="0" sort="0" autoFilter="0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61"/>
  <sheetViews>
    <sheetView workbookViewId="0">
      <selection activeCell="D16" sqref="D16"/>
    </sheetView>
  </sheetViews>
  <sheetFormatPr baseColWidth="10" defaultColWidth="8.83203125" defaultRowHeight="15" x14ac:dyDescent="0.2"/>
  <cols>
    <col min="1" max="1" width="8.83203125" style="1" customWidth="1"/>
    <col min="2" max="2" width="4" style="1" customWidth="1"/>
    <col min="3" max="3" width="30" style="1" customWidth="1"/>
    <col min="4" max="4" width="20" style="1" customWidth="1"/>
    <col min="5" max="5" width="14" style="1" customWidth="1"/>
    <col min="6" max="6" width="28" style="1" customWidth="1"/>
    <col min="7" max="7" width="8.83203125" style="1" customWidth="1"/>
    <col min="8" max="16384" width="8.83203125" style="1"/>
  </cols>
  <sheetData>
    <row r="2" spans="2:6" ht="18" customHeight="1" x14ac:dyDescent="0.2">
      <c r="C2" s="2" t="s">
        <v>0</v>
      </c>
      <c r="D2" s="13"/>
      <c r="E2" s="13"/>
      <c r="F2" s="3"/>
    </row>
    <row r="3" spans="2:6" x14ac:dyDescent="0.2">
      <c r="C3" s="4" t="s">
        <v>1</v>
      </c>
      <c r="D3" s="15"/>
      <c r="E3" s="15"/>
      <c r="F3" s="5"/>
    </row>
    <row r="4" spans="2:6" x14ac:dyDescent="0.2">
      <c r="C4" s="6"/>
      <c r="D4" s="15"/>
      <c r="E4" s="15"/>
      <c r="F4" s="5"/>
    </row>
    <row r="5" spans="2:6" x14ac:dyDescent="0.2">
      <c r="C5" s="6"/>
      <c r="D5" s="23" t="s">
        <v>2</v>
      </c>
      <c r="E5" s="15"/>
      <c r="F5" s="5"/>
    </row>
    <row r="6" spans="2:6" x14ac:dyDescent="0.2">
      <c r="C6" s="6"/>
      <c r="D6" s="17" t="s">
        <v>3</v>
      </c>
      <c r="E6" s="71">
        <v>42400</v>
      </c>
      <c r="F6" s="10" t="s">
        <v>4</v>
      </c>
    </row>
    <row r="7" spans="2:6" x14ac:dyDescent="0.2">
      <c r="C7" s="6"/>
      <c r="D7" s="17" t="s">
        <v>5</v>
      </c>
      <c r="E7" s="71">
        <v>46022</v>
      </c>
      <c r="F7" s="10" t="s">
        <v>6</v>
      </c>
    </row>
    <row r="8" spans="2:6" x14ac:dyDescent="0.2">
      <c r="C8" s="20"/>
      <c r="D8" s="21"/>
      <c r="E8" s="21"/>
      <c r="F8" s="22"/>
    </row>
    <row r="10" spans="2:6" x14ac:dyDescent="0.2">
      <c r="B10" s="25" t="s">
        <v>7</v>
      </c>
    </row>
    <row r="11" spans="2:6" x14ac:dyDescent="0.2">
      <c r="B11" s="26" t="s">
        <v>8</v>
      </c>
      <c r="C11" s="27" t="s">
        <v>9</v>
      </c>
      <c r="D11" s="28" t="s">
        <v>10</v>
      </c>
    </row>
    <row r="12" spans="2:6" x14ac:dyDescent="0.2">
      <c r="B12" s="29">
        <v>1</v>
      </c>
      <c r="C12" s="72" t="s">
        <v>11</v>
      </c>
      <c r="D12" s="73" t="s">
        <v>12</v>
      </c>
    </row>
    <row r="13" spans="2:6" x14ac:dyDescent="0.2">
      <c r="B13" s="29">
        <v>2</v>
      </c>
      <c r="C13" s="72" t="s">
        <v>13</v>
      </c>
      <c r="D13" s="73" t="s">
        <v>14</v>
      </c>
    </row>
    <row r="14" spans="2:6" x14ac:dyDescent="0.2">
      <c r="B14" s="29">
        <v>3</v>
      </c>
      <c r="C14" s="72" t="s">
        <v>15</v>
      </c>
      <c r="D14" s="73" t="s">
        <v>16</v>
      </c>
    </row>
    <row r="15" spans="2:6" x14ac:dyDescent="0.2">
      <c r="B15" s="29">
        <v>4</v>
      </c>
      <c r="C15" s="72" t="s">
        <v>17</v>
      </c>
      <c r="D15" s="73" t="s">
        <v>18</v>
      </c>
    </row>
    <row r="16" spans="2:6" x14ac:dyDescent="0.2">
      <c r="B16" s="29">
        <v>5</v>
      </c>
      <c r="C16" s="72" t="s">
        <v>19</v>
      </c>
      <c r="D16" s="73" t="s">
        <v>20</v>
      </c>
    </row>
    <row r="17" spans="2:4" x14ac:dyDescent="0.2">
      <c r="B17" s="29">
        <v>6</v>
      </c>
      <c r="C17" s="72" t="s">
        <v>21</v>
      </c>
      <c r="D17" s="73" t="s">
        <v>20</v>
      </c>
    </row>
    <row r="18" spans="2:4" x14ac:dyDescent="0.2">
      <c r="B18" s="29">
        <v>7</v>
      </c>
      <c r="C18" s="72" t="s">
        <v>22</v>
      </c>
      <c r="D18" s="73" t="s">
        <v>23</v>
      </c>
    </row>
    <row r="19" spans="2:4" x14ac:dyDescent="0.2">
      <c r="B19" s="29">
        <v>8</v>
      </c>
      <c r="C19" s="72" t="s">
        <v>24</v>
      </c>
      <c r="D19" s="73" t="s">
        <v>23</v>
      </c>
    </row>
    <row r="20" spans="2:4" x14ac:dyDescent="0.2">
      <c r="B20" s="29">
        <v>9</v>
      </c>
      <c r="C20" s="72" t="s">
        <v>25</v>
      </c>
      <c r="D20" s="73" t="s">
        <v>26</v>
      </c>
    </row>
    <row r="21" spans="2:4" x14ac:dyDescent="0.2">
      <c r="B21" s="29">
        <v>10</v>
      </c>
      <c r="C21" s="72"/>
      <c r="D21" s="73"/>
    </row>
    <row r="22" spans="2:4" x14ac:dyDescent="0.2">
      <c r="B22" s="29">
        <v>11</v>
      </c>
      <c r="C22" s="72"/>
      <c r="D22" s="73"/>
    </row>
    <row r="23" spans="2:4" x14ac:dyDescent="0.2">
      <c r="B23" s="29">
        <v>12</v>
      </c>
      <c r="C23" s="72"/>
      <c r="D23" s="73"/>
    </row>
    <row r="24" spans="2:4" x14ac:dyDescent="0.2">
      <c r="B24" s="29">
        <v>13</v>
      </c>
      <c r="C24" s="72"/>
      <c r="D24" s="73"/>
    </row>
    <row r="25" spans="2:4" x14ac:dyDescent="0.2">
      <c r="B25" s="29">
        <v>14</v>
      </c>
      <c r="C25" s="72"/>
      <c r="D25" s="73"/>
    </row>
    <row r="26" spans="2:4" x14ac:dyDescent="0.2">
      <c r="B26" s="29">
        <v>15</v>
      </c>
      <c r="C26" s="72"/>
      <c r="D26" s="73"/>
    </row>
    <row r="27" spans="2:4" x14ac:dyDescent="0.2">
      <c r="B27" s="29">
        <v>16</v>
      </c>
      <c r="C27" s="72"/>
      <c r="D27" s="73"/>
    </row>
    <row r="28" spans="2:4" x14ac:dyDescent="0.2">
      <c r="B28" s="29">
        <v>17</v>
      </c>
      <c r="C28" s="72"/>
      <c r="D28" s="73"/>
    </row>
    <row r="29" spans="2:4" x14ac:dyDescent="0.2">
      <c r="B29" s="29">
        <v>18</v>
      </c>
      <c r="C29" s="72"/>
      <c r="D29" s="73"/>
    </row>
    <row r="30" spans="2:4" x14ac:dyDescent="0.2">
      <c r="B30" s="29">
        <v>19</v>
      </c>
      <c r="C30" s="72"/>
      <c r="D30" s="73"/>
    </row>
    <row r="31" spans="2:4" x14ac:dyDescent="0.2">
      <c r="B31" s="29">
        <v>20</v>
      </c>
      <c r="C31" s="72"/>
      <c r="D31" s="73"/>
    </row>
    <row r="32" spans="2:4" x14ac:dyDescent="0.2">
      <c r="B32" s="29">
        <v>21</v>
      </c>
      <c r="C32" s="72"/>
      <c r="D32" s="73"/>
    </row>
    <row r="33" spans="2:4" x14ac:dyDescent="0.2">
      <c r="B33" s="29">
        <v>22</v>
      </c>
      <c r="C33" s="72"/>
      <c r="D33" s="73"/>
    </row>
    <row r="34" spans="2:4" x14ac:dyDescent="0.2">
      <c r="B34" s="29">
        <v>23</v>
      </c>
      <c r="C34" s="72"/>
      <c r="D34" s="73"/>
    </row>
    <row r="35" spans="2:4" x14ac:dyDescent="0.2">
      <c r="B35" s="29">
        <v>24</v>
      </c>
      <c r="C35" s="72"/>
      <c r="D35" s="73"/>
    </row>
    <row r="36" spans="2:4" x14ac:dyDescent="0.2">
      <c r="B36" s="29">
        <v>25</v>
      </c>
      <c r="C36" s="72"/>
      <c r="D36" s="73"/>
    </row>
    <row r="37" spans="2:4" x14ac:dyDescent="0.2">
      <c r="B37" s="29">
        <v>26</v>
      </c>
      <c r="C37" s="72"/>
      <c r="D37" s="73"/>
    </row>
    <row r="38" spans="2:4" x14ac:dyDescent="0.2">
      <c r="B38" s="29">
        <v>27</v>
      </c>
      <c r="C38" s="72"/>
      <c r="D38" s="73"/>
    </row>
    <row r="39" spans="2:4" x14ac:dyDescent="0.2">
      <c r="B39" s="29">
        <v>28</v>
      </c>
      <c r="C39" s="72"/>
      <c r="D39" s="73"/>
    </row>
    <row r="40" spans="2:4" x14ac:dyDescent="0.2">
      <c r="B40" s="29">
        <v>29</v>
      </c>
      <c r="C40" s="72"/>
      <c r="D40" s="73"/>
    </row>
    <row r="41" spans="2:4" x14ac:dyDescent="0.2">
      <c r="B41" s="29">
        <v>30</v>
      </c>
      <c r="C41" s="72"/>
      <c r="D41" s="73"/>
    </row>
    <row r="42" spans="2:4" x14ac:dyDescent="0.2">
      <c r="B42" s="29">
        <v>31</v>
      </c>
      <c r="C42" s="72"/>
      <c r="D42" s="73"/>
    </row>
    <row r="43" spans="2:4" x14ac:dyDescent="0.2">
      <c r="B43" s="29">
        <v>32</v>
      </c>
      <c r="C43" s="72"/>
      <c r="D43" s="73"/>
    </row>
    <row r="44" spans="2:4" x14ac:dyDescent="0.2">
      <c r="B44" s="29">
        <v>33</v>
      </c>
      <c r="C44" s="72"/>
      <c r="D44" s="73"/>
    </row>
    <row r="45" spans="2:4" x14ac:dyDescent="0.2">
      <c r="B45" s="29">
        <v>34</v>
      </c>
      <c r="C45" s="72"/>
      <c r="D45" s="73"/>
    </row>
    <row r="46" spans="2:4" x14ac:dyDescent="0.2">
      <c r="B46" s="29">
        <v>35</v>
      </c>
      <c r="C46" s="72"/>
      <c r="D46" s="73"/>
    </row>
    <row r="47" spans="2:4" x14ac:dyDescent="0.2">
      <c r="B47" s="29">
        <v>36</v>
      </c>
      <c r="C47" s="72"/>
      <c r="D47" s="73"/>
    </row>
    <row r="48" spans="2:4" x14ac:dyDescent="0.2">
      <c r="B48" s="29">
        <v>37</v>
      </c>
      <c r="C48" s="72"/>
      <c r="D48" s="73"/>
    </row>
    <row r="49" spans="2:4" x14ac:dyDescent="0.2">
      <c r="B49" s="29">
        <v>38</v>
      </c>
      <c r="C49" s="72"/>
      <c r="D49" s="73"/>
    </row>
    <row r="50" spans="2:4" x14ac:dyDescent="0.2">
      <c r="B50" s="29">
        <v>39</v>
      </c>
      <c r="C50" s="72"/>
      <c r="D50" s="73"/>
    </row>
    <row r="51" spans="2:4" x14ac:dyDescent="0.2">
      <c r="B51" s="29">
        <v>40</v>
      </c>
      <c r="C51" s="72"/>
      <c r="D51" s="73"/>
    </row>
    <row r="52" spans="2:4" x14ac:dyDescent="0.2">
      <c r="B52" s="29">
        <v>41</v>
      </c>
      <c r="C52" s="72"/>
      <c r="D52" s="73"/>
    </row>
    <row r="53" spans="2:4" x14ac:dyDescent="0.2">
      <c r="B53" s="29">
        <v>42</v>
      </c>
      <c r="C53" s="72"/>
      <c r="D53" s="73"/>
    </row>
    <row r="54" spans="2:4" x14ac:dyDescent="0.2">
      <c r="B54" s="29">
        <v>43</v>
      </c>
      <c r="C54" s="72"/>
      <c r="D54" s="73"/>
    </row>
    <row r="55" spans="2:4" x14ac:dyDescent="0.2">
      <c r="B55" s="29">
        <v>44</v>
      </c>
      <c r="C55" s="72"/>
      <c r="D55" s="73"/>
    </row>
    <row r="56" spans="2:4" x14ac:dyDescent="0.2">
      <c r="B56" s="29">
        <v>45</v>
      </c>
      <c r="C56" s="72"/>
      <c r="D56" s="73"/>
    </row>
    <row r="57" spans="2:4" x14ac:dyDescent="0.2">
      <c r="B57" s="29">
        <v>46</v>
      </c>
      <c r="C57" s="72"/>
      <c r="D57" s="73"/>
    </row>
    <row r="58" spans="2:4" x14ac:dyDescent="0.2">
      <c r="B58" s="29">
        <v>47</v>
      </c>
      <c r="C58" s="72"/>
      <c r="D58" s="73"/>
    </row>
    <row r="59" spans="2:4" x14ac:dyDescent="0.2">
      <c r="B59" s="29">
        <v>48</v>
      </c>
      <c r="C59" s="72"/>
      <c r="D59" s="73"/>
    </row>
    <row r="60" spans="2:4" x14ac:dyDescent="0.2">
      <c r="B60" s="29">
        <v>49</v>
      </c>
      <c r="C60" s="72"/>
      <c r="D60" s="73"/>
    </row>
    <row r="61" spans="2:4" x14ac:dyDescent="0.2">
      <c r="B61" s="30">
        <v>50</v>
      </c>
      <c r="C61" s="74"/>
      <c r="D61" s="75"/>
    </row>
  </sheetData>
  <sheetProtection sheet="1" formatCells="0" formatColumns="0" formatRows="0" sort="0" autoFilter="0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A187"/>
  <sheetViews>
    <sheetView zoomScale="75" workbookViewId="0">
      <pane xSplit="3" ySplit="7" topLeftCell="D8" activePane="bottomRight" state="frozen"/>
      <selection pane="topRight"/>
      <selection pane="bottomLeft"/>
      <selection pane="bottomRight" activeCell="N62" sqref="N62"/>
    </sheetView>
  </sheetViews>
  <sheetFormatPr baseColWidth="10" defaultColWidth="8.83203125" defaultRowHeight="15" x14ac:dyDescent="0.2"/>
  <cols>
    <col min="1" max="1" width="8.83203125" style="1" customWidth="1"/>
    <col min="2" max="2" width="20" style="1" hidden="1" customWidth="1"/>
    <col min="3" max="3" width="12" style="1" customWidth="1"/>
    <col min="4" max="53" width="13" style="1" customWidth="1"/>
    <col min="54" max="54" width="8.83203125" style="1" customWidth="1"/>
    <col min="55" max="16384" width="8.83203125" style="1"/>
  </cols>
  <sheetData>
    <row r="1" spans="2:53" ht="18" customHeight="1" x14ac:dyDescent="0.2">
      <c r="D1" s="2" t="s">
        <v>84</v>
      </c>
      <c r="E1" s="13"/>
      <c r="F1" s="13"/>
      <c r="G1" s="13"/>
      <c r="H1" s="13"/>
      <c r="I1" s="3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1"/>
    </row>
    <row r="2" spans="2:53" x14ac:dyDescent="0.2">
      <c r="D2" s="6"/>
      <c r="E2" s="15"/>
      <c r="F2" s="15"/>
      <c r="G2" s="15"/>
      <c r="H2" s="15"/>
      <c r="I2" s="5"/>
      <c r="BA2" s="42"/>
    </row>
    <row r="3" spans="2:53" x14ac:dyDescent="0.2">
      <c r="D3" s="39" t="s">
        <v>85</v>
      </c>
      <c r="E3" s="21"/>
      <c r="F3" s="21"/>
      <c r="G3" s="21"/>
      <c r="H3" s="21"/>
      <c r="I3" s="22"/>
      <c r="BA3" s="42"/>
    </row>
    <row r="4" spans="2:53" x14ac:dyDescent="0.2">
      <c r="D4" s="36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8"/>
    </row>
    <row r="5" spans="2:53" x14ac:dyDescent="0.2">
      <c r="B5" s="25" t="s">
        <v>69</v>
      </c>
      <c r="D5" s="52" t="str">
        <f>IF(Bench_Setup!C12="","",Bench_Setup!C12)</f>
        <v>S&amp;P 500</v>
      </c>
      <c r="E5" s="53" t="str">
        <f>IF(Bench_Setup!C13="","",Bench_Setup!C13)</f>
        <v>MSCI EAFE</v>
      </c>
      <c r="F5" s="53" t="str">
        <f>IF(Bench_Setup!C14="","",Bench_Setup!C14)</f>
        <v>MSCI Emerging Markets</v>
      </c>
      <c r="G5" s="53" t="str">
        <f>IF(Bench_Setup!C15="","",Bench_Setup!C15)</f>
        <v>MSCI ACWI</v>
      </c>
      <c r="H5" s="53" t="str">
        <f>IF(Bench_Setup!C16="","",Bench_Setup!C16)</f>
        <v>HFRI Macro</v>
      </c>
      <c r="I5" s="53" t="str">
        <f>IF(Bench_Setup!C17="","",Bench_Setup!C17)</f>
        <v>HFRI Fund of Funds</v>
      </c>
      <c r="J5" s="53" t="str">
        <f>IF(Bench_Setup!C18="","",Bench_Setup!C18)</f>
        <v>Bloomberg US Agg</v>
      </c>
      <c r="K5" s="53" t="str">
        <f>IF(Bench_Setup!C19="","",Bench_Setup!C19)</f>
        <v>US Treasuries</v>
      </c>
      <c r="L5" s="53" t="str">
        <f>IF(Bench_Setup!C20="","",Bench_Setup!C20)</f>
        <v>3-Month T-Bill</v>
      </c>
      <c r="M5" s="53" t="str">
        <f>IF(Bench_Setup!C21="","",Bench_Setup!C21)</f>
        <v/>
      </c>
      <c r="N5" s="53" t="str">
        <f>IF(Bench_Setup!C22="","",Bench_Setup!C22)</f>
        <v/>
      </c>
      <c r="O5" s="53" t="str">
        <f>IF(Bench_Setup!C23="","",Bench_Setup!C23)</f>
        <v/>
      </c>
      <c r="P5" s="53" t="str">
        <f>IF(Bench_Setup!C24="","",Bench_Setup!C24)</f>
        <v/>
      </c>
      <c r="Q5" s="53" t="str">
        <f>IF(Bench_Setup!C25="","",Bench_Setup!C25)</f>
        <v/>
      </c>
      <c r="R5" s="53" t="str">
        <f>IF(Bench_Setup!C26="","",Bench_Setup!C26)</f>
        <v/>
      </c>
      <c r="S5" s="53" t="str">
        <f>IF(Bench_Setup!C27="","",Bench_Setup!C27)</f>
        <v/>
      </c>
      <c r="T5" s="53" t="str">
        <f>IF(Bench_Setup!C28="","",Bench_Setup!C28)</f>
        <v/>
      </c>
      <c r="U5" s="53" t="str">
        <f>IF(Bench_Setup!C29="","",Bench_Setup!C29)</f>
        <v/>
      </c>
      <c r="V5" s="53" t="str">
        <f>IF(Bench_Setup!C30="","",Bench_Setup!C30)</f>
        <v/>
      </c>
      <c r="W5" s="53" t="str">
        <f>IF(Bench_Setup!C31="","",Bench_Setup!C31)</f>
        <v/>
      </c>
      <c r="X5" s="53" t="str">
        <f>IF(Bench_Setup!C32="","",Bench_Setup!C32)</f>
        <v/>
      </c>
      <c r="Y5" s="53" t="str">
        <f>IF(Bench_Setup!C33="","",Bench_Setup!C33)</f>
        <v/>
      </c>
      <c r="Z5" s="53" t="str">
        <f>IF(Bench_Setup!C34="","",Bench_Setup!C34)</f>
        <v/>
      </c>
      <c r="AA5" s="53" t="str">
        <f>IF(Bench_Setup!C35="","",Bench_Setup!C35)</f>
        <v/>
      </c>
      <c r="AB5" s="53" t="str">
        <f>IF(Bench_Setup!C36="","",Bench_Setup!C36)</f>
        <v/>
      </c>
      <c r="AC5" s="53" t="str">
        <f>IF(Bench_Setup!C37="","",Bench_Setup!C37)</f>
        <v/>
      </c>
      <c r="AD5" s="53" t="str">
        <f>IF(Bench_Setup!C38="","",Bench_Setup!C38)</f>
        <v/>
      </c>
      <c r="AE5" s="53" t="str">
        <f>IF(Bench_Setup!C39="","",Bench_Setup!C39)</f>
        <v/>
      </c>
      <c r="AF5" s="53" t="str">
        <f>IF(Bench_Setup!C40="","",Bench_Setup!C40)</f>
        <v/>
      </c>
      <c r="AG5" s="53" t="str">
        <f>IF(Bench_Setup!C41="","",Bench_Setup!C41)</f>
        <v/>
      </c>
      <c r="AH5" s="53" t="str">
        <f>IF(Bench_Setup!C42="","",Bench_Setup!C42)</f>
        <v/>
      </c>
      <c r="AI5" s="53" t="str">
        <f>IF(Bench_Setup!C43="","",Bench_Setup!C43)</f>
        <v/>
      </c>
      <c r="AJ5" s="53" t="str">
        <f>IF(Bench_Setup!C44="","",Bench_Setup!C44)</f>
        <v/>
      </c>
      <c r="AK5" s="53" t="str">
        <f>IF(Bench_Setup!C45="","",Bench_Setup!C45)</f>
        <v/>
      </c>
      <c r="AL5" s="53" t="str">
        <f>IF(Bench_Setup!C46="","",Bench_Setup!C46)</f>
        <v/>
      </c>
      <c r="AM5" s="53" t="str">
        <f>IF(Bench_Setup!C47="","",Bench_Setup!C47)</f>
        <v/>
      </c>
      <c r="AN5" s="53" t="str">
        <f>IF(Bench_Setup!C48="","",Bench_Setup!C48)</f>
        <v/>
      </c>
      <c r="AO5" s="53" t="str">
        <f>IF(Bench_Setup!C49="","",Bench_Setup!C49)</f>
        <v/>
      </c>
      <c r="AP5" s="53" t="str">
        <f>IF(Bench_Setup!C50="","",Bench_Setup!C50)</f>
        <v/>
      </c>
      <c r="AQ5" s="53" t="str">
        <f>IF(Bench_Setup!C51="","",Bench_Setup!C51)</f>
        <v/>
      </c>
      <c r="AR5" s="53" t="str">
        <f>IF(Bench_Setup!C52="","",Bench_Setup!C52)</f>
        <v/>
      </c>
      <c r="AS5" s="53" t="str">
        <f>IF(Bench_Setup!C53="","",Bench_Setup!C53)</f>
        <v/>
      </c>
      <c r="AT5" s="53" t="str">
        <f>IF(Bench_Setup!C54="","",Bench_Setup!C54)</f>
        <v/>
      </c>
      <c r="AU5" s="53" t="str">
        <f>IF(Bench_Setup!C55="","",Bench_Setup!C55)</f>
        <v/>
      </c>
      <c r="AV5" s="53" t="str">
        <f>IF(Bench_Setup!C56="","",Bench_Setup!C56)</f>
        <v/>
      </c>
      <c r="AW5" s="53" t="str">
        <f>IF(Bench_Setup!C57="","",Bench_Setup!C57)</f>
        <v/>
      </c>
      <c r="AX5" s="53" t="str">
        <f>IF(Bench_Setup!C58="","",Bench_Setup!C58)</f>
        <v/>
      </c>
      <c r="AY5" s="53" t="str">
        <f>IF(Bench_Setup!C59="","",Bench_Setup!C59)</f>
        <v/>
      </c>
      <c r="AZ5" s="53" t="str">
        <f>IF(Bench_Setup!C60="","",Bench_Setup!C60)</f>
        <v/>
      </c>
      <c r="BA5" s="54" t="str">
        <f>IF(Bench_Setup!C61="","",Bench_Setup!C61)</f>
        <v/>
      </c>
    </row>
    <row r="6" spans="2:53" x14ac:dyDescent="0.2">
      <c r="B6" s="25" t="s">
        <v>86</v>
      </c>
      <c r="D6" s="33" t="str">
        <f>IF(Bench_Setup!D12="","",Bench_Setup!D12)</f>
        <v>US Equity</v>
      </c>
      <c r="E6" s="34" t="str">
        <f>IF(Bench_Setup!D13="","",Bench_Setup!D13)</f>
        <v>Intl Equity</v>
      </c>
      <c r="F6" s="34" t="str">
        <f>IF(Bench_Setup!D14="","",Bench_Setup!D14)</f>
        <v>EM Equity</v>
      </c>
      <c r="G6" s="34" t="str">
        <f>IF(Bench_Setup!D15="","",Bench_Setup!D15)</f>
        <v>Global Equity</v>
      </c>
      <c r="H6" s="34" t="str">
        <f>IF(Bench_Setup!D16="","",Bench_Setup!D16)</f>
        <v>Hedge Funds</v>
      </c>
      <c r="I6" s="34" t="str">
        <f>IF(Bench_Setup!D17="","",Bench_Setup!D17)</f>
        <v>Hedge Funds</v>
      </c>
      <c r="J6" s="34" t="str">
        <f>IF(Bench_Setup!D18="","",Bench_Setup!D18)</f>
        <v>Fixed Income</v>
      </c>
      <c r="K6" s="34" t="str">
        <f>IF(Bench_Setup!D19="","",Bench_Setup!D19)</f>
        <v>Fixed Income</v>
      </c>
      <c r="L6" s="34" t="str">
        <f>IF(Bench_Setup!D20="","",Bench_Setup!D20)</f>
        <v>Cash</v>
      </c>
      <c r="M6" s="34" t="str">
        <f>IF(Bench_Setup!D21="","",Bench_Setup!D21)</f>
        <v/>
      </c>
      <c r="N6" s="34" t="str">
        <f>IF(Bench_Setup!D22="","",Bench_Setup!D22)</f>
        <v/>
      </c>
      <c r="O6" s="34" t="str">
        <f>IF(Bench_Setup!D23="","",Bench_Setup!D23)</f>
        <v/>
      </c>
      <c r="P6" s="34" t="str">
        <f>IF(Bench_Setup!D24="","",Bench_Setup!D24)</f>
        <v/>
      </c>
      <c r="Q6" s="34" t="str">
        <f>IF(Bench_Setup!D25="","",Bench_Setup!D25)</f>
        <v/>
      </c>
      <c r="R6" s="34" t="str">
        <f>IF(Bench_Setup!D26="","",Bench_Setup!D26)</f>
        <v/>
      </c>
      <c r="S6" s="34" t="str">
        <f>IF(Bench_Setup!D27="","",Bench_Setup!D27)</f>
        <v/>
      </c>
      <c r="T6" s="34" t="str">
        <f>IF(Bench_Setup!D28="","",Bench_Setup!D28)</f>
        <v/>
      </c>
      <c r="U6" s="34" t="str">
        <f>IF(Bench_Setup!D29="","",Bench_Setup!D29)</f>
        <v/>
      </c>
      <c r="V6" s="34" t="str">
        <f>IF(Bench_Setup!D30="","",Bench_Setup!D30)</f>
        <v/>
      </c>
      <c r="W6" s="34" t="str">
        <f>IF(Bench_Setup!D31="","",Bench_Setup!D31)</f>
        <v/>
      </c>
      <c r="X6" s="34" t="str">
        <f>IF(Bench_Setup!D32="","",Bench_Setup!D32)</f>
        <v/>
      </c>
      <c r="Y6" s="34" t="str">
        <f>IF(Bench_Setup!D33="","",Bench_Setup!D33)</f>
        <v/>
      </c>
      <c r="Z6" s="34" t="str">
        <f>IF(Bench_Setup!D34="","",Bench_Setup!D34)</f>
        <v/>
      </c>
      <c r="AA6" s="34" t="str">
        <f>IF(Bench_Setup!D35="","",Bench_Setup!D35)</f>
        <v/>
      </c>
      <c r="AB6" s="34" t="str">
        <f>IF(Bench_Setup!D36="","",Bench_Setup!D36)</f>
        <v/>
      </c>
      <c r="AC6" s="34" t="str">
        <f>IF(Bench_Setup!D37="","",Bench_Setup!D37)</f>
        <v/>
      </c>
      <c r="AD6" s="34" t="str">
        <f>IF(Bench_Setup!D38="","",Bench_Setup!D38)</f>
        <v/>
      </c>
      <c r="AE6" s="34" t="str">
        <f>IF(Bench_Setup!D39="","",Bench_Setup!D39)</f>
        <v/>
      </c>
      <c r="AF6" s="34" t="str">
        <f>IF(Bench_Setup!D40="","",Bench_Setup!D40)</f>
        <v/>
      </c>
      <c r="AG6" s="34" t="str">
        <f>IF(Bench_Setup!D41="","",Bench_Setup!D41)</f>
        <v/>
      </c>
      <c r="AH6" s="34" t="str">
        <f>IF(Bench_Setup!D42="","",Bench_Setup!D42)</f>
        <v/>
      </c>
      <c r="AI6" s="34" t="str">
        <f>IF(Bench_Setup!D43="","",Bench_Setup!D43)</f>
        <v/>
      </c>
      <c r="AJ6" s="34" t="str">
        <f>IF(Bench_Setup!D44="","",Bench_Setup!D44)</f>
        <v/>
      </c>
      <c r="AK6" s="34" t="str">
        <f>IF(Bench_Setup!D45="","",Bench_Setup!D45)</f>
        <v/>
      </c>
      <c r="AL6" s="34" t="str">
        <f>IF(Bench_Setup!D46="","",Bench_Setup!D46)</f>
        <v/>
      </c>
      <c r="AM6" s="34" t="str">
        <f>IF(Bench_Setup!D47="","",Bench_Setup!D47)</f>
        <v/>
      </c>
      <c r="AN6" s="34" t="str">
        <f>IF(Bench_Setup!D48="","",Bench_Setup!D48)</f>
        <v/>
      </c>
      <c r="AO6" s="34" t="str">
        <f>IF(Bench_Setup!D49="","",Bench_Setup!D49)</f>
        <v/>
      </c>
      <c r="AP6" s="34" t="str">
        <f>IF(Bench_Setup!D50="","",Bench_Setup!D50)</f>
        <v/>
      </c>
      <c r="AQ6" s="34" t="str">
        <f>IF(Bench_Setup!D51="","",Bench_Setup!D51)</f>
        <v/>
      </c>
      <c r="AR6" s="34" t="str">
        <f>IF(Bench_Setup!D52="","",Bench_Setup!D52)</f>
        <v/>
      </c>
      <c r="AS6" s="34" t="str">
        <f>IF(Bench_Setup!D53="","",Bench_Setup!D53)</f>
        <v/>
      </c>
      <c r="AT6" s="34" t="str">
        <f>IF(Bench_Setup!D54="","",Bench_Setup!D54)</f>
        <v/>
      </c>
      <c r="AU6" s="34" t="str">
        <f>IF(Bench_Setup!D55="","",Bench_Setup!D55)</f>
        <v/>
      </c>
      <c r="AV6" s="34" t="str">
        <f>IF(Bench_Setup!D56="","",Bench_Setup!D56)</f>
        <v/>
      </c>
      <c r="AW6" s="34" t="str">
        <f>IF(Bench_Setup!D57="","",Bench_Setup!D57)</f>
        <v/>
      </c>
      <c r="AX6" s="34" t="str">
        <f>IF(Bench_Setup!D58="","",Bench_Setup!D58)</f>
        <v/>
      </c>
      <c r="AY6" s="34" t="str">
        <f>IF(Bench_Setup!D59="","",Bench_Setup!D59)</f>
        <v/>
      </c>
      <c r="AZ6" s="34" t="str">
        <f>IF(Bench_Setup!D60="","",Bench_Setup!D60)</f>
        <v/>
      </c>
      <c r="BA6" s="35" t="str">
        <f>IF(Bench_Setup!D61="","",Bench_Setup!D61)</f>
        <v/>
      </c>
    </row>
    <row r="7" spans="2:53" x14ac:dyDescent="0.2">
      <c r="B7" s="32" t="s">
        <v>87</v>
      </c>
      <c r="C7" s="50" t="s">
        <v>88</v>
      </c>
      <c r="D7" s="51" t="s">
        <v>89</v>
      </c>
      <c r="E7" s="51" t="s">
        <v>90</v>
      </c>
      <c r="F7" s="51" t="s">
        <v>91</v>
      </c>
      <c r="G7" s="51" t="s">
        <v>92</v>
      </c>
      <c r="H7" s="51" t="s">
        <v>93</v>
      </c>
      <c r="I7" s="51" t="s">
        <v>94</v>
      </c>
      <c r="J7" s="51" t="s">
        <v>95</v>
      </c>
      <c r="K7" s="51" t="s">
        <v>96</v>
      </c>
      <c r="L7" s="51" t="s">
        <v>97</v>
      </c>
      <c r="M7" s="51" t="s">
        <v>98</v>
      </c>
      <c r="N7" s="51" t="s">
        <v>99</v>
      </c>
      <c r="O7" s="51" t="s">
        <v>100</v>
      </c>
      <c r="P7" s="51" t="s">
        <v>101</v>
      </c>
      <c r="Q7" s="51" t="s">
        <v>102</v>
      </c>
      <c r="R7" s="51" t="s">
        <v>103</v>
      </c>
      <c r="S7" s="51" t="s">
        <v>104</v>
      </c>
      <c r="T7" s="51" t="s">
        <v>105</v>
      </c>
      <c r="U7" s="51" t="s">
        <v>106</v>
      </c>
      <c r="V7" s="51" t="s">
        <v>107</v>
      </c>
      <c r="W7" s="51" t="s">
        <v>108</v>
      </c>
      <c r="X7" s="51" t="s">
        <v>109</v>
      </c>
      <c r="Y7" s="51" t="s">
        <v>110</v>
      </c>
      <c r="Z7" s="51" t="s">
        <v>111</v>
      </c>
      <c r="AA7" s="51" t="s">
        <v>112</v>
      </c>
      <c r="AB7" s="51" t="s">
        <v>113</v>
      </c>
      <c r="AC7" s="51" t="s">
        <v>114</v>
      </c>
      <c r="AD7" s="51" t="s">
        <v>115</v>
      </c>
      <c r="AE7" s="51" t="s">
        <v>116</v>
      </c>
      <c r="AF7" s="51" t="s">
        <v>117</v>
      </c>
      <c r="AG7" s="51" t="s">
        <v>118</v>
      </c>
      <c r="AH7" s="51" t="s">
        <v>119</v>
      </c>
      <c r="AI7" s="51" t="s">
        <v>120</v>
      </c>
      <c r="AJ7" s="51" t="s">
        <v>121</v>
      </c>
      <c r="AK7" s="51" t="s">
        <v>122</v>
      </c>
      <c r="AL7" s="51" t="s">
        <v>123</v>
      </c>
      <c r="AM7" s="51" t="s">
        <v>124</v>
      </c>
      <c r="AN7" s="51" t="s">
        <v>125</v>
      </c>
      <c r="AO7" s="51" t="s">
        <v>126</v>
      </c>
      <c r="AP7" s="51" t="s">
        <v>127</v>
      </c>
      <c r="AQ7" s="51" t="s">
        <v>128</v>
      </c>
      <c r="AR7" s="51" t="s">
        <v>129</v>
      </c>
      <c r="AS7" s="51" t="s">
        <v>130</v>
      </c>
      <c r="AT7" s="51" t="s">
        <v>131</v>
      </c>
      <c r="AU7" s="51" t="s">
        <v>132</v>
      </c>
      <c r="AV7" s="51" t="s">
        <v>133</v>
      </c>
      <c r="AW7" s="51" t="s">
        <v>134</v>
      </c>
      <c r="AX7" s="51" t="s">
        <v>135</v>
      </c>
      <c r="AY7" s="51" t="s">
        <v>136</v>
      </c>
      <c r="AZ7" s="51" t="s">
        <v>137</v>
      </c>
      <c r="BA7" s="51" t="s">
        <v>138</v>
      </c>
    </row>
    <row r="8" spans="2:53" x14ac:dyDescent="0.2">
      <c r="B8" s="25" t="str">
        <f t="shared" ref="B8:B39" si="0">IF(C8="","","[ROW:"&amp;UPPER(TEXT(C8,"MMM"))&amp;"_"&amp;TEXT(C8,"YYYY")&amp;"]")</f>
        <v>[ROW:JAN_2016]</v>
      </c>
      <c r="C8" s="47">
        <f>IF(OR(Bench_Setup!$E$6="",Bench_Setup!$E$7=""),"",IF(EOMONTH(Bench_Setup!$E$6,0)&lt;=Bench_Setup!$E$7,EOMONTH(Bench_Setup!$E$6,0),""))</f>
        <v>42400</v>
      </c>
      <c r="D8" s="45">
        <v>3.55</v>
      </c>
      <c r="E8" s="43">
        <v>2.67</v>
      </c>
      <c r="F8" s="43">
        <v>-2.99</v>
      </c>
      <c r="G8" s="43">
        <v>-0.31</v>
      </c>
      <c r="H8" s="43">
        <v>1.37</v>
      </c>
      <c r="I8" s="43">
        <v>1.45</v>
      </c>
      <c r="J8" s="43">
        <v>0.64</v>
      </c>
      <c r="K8" s="43">
        <v>-1.54</v>
      </c>
      <c r="L8" s="43">
        <v>0.08</v>
      </c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</row>
    <row r="9" spans="2:53" x14ac:dyDescent="0.2">
      <c r="B9" s="25" t="str">
        <f t="shared" si="0"/>
        <v>[ROW:FEB_2016]</v>
      </c>
      <c r="C9" s="48">
        <f>IF(OR(Bench_Setup!$E$6="",Bench_Setup!$E$7=""),"",IF(EOMONTH(Bench_Setup!$E$6,1)&lt;=Bench_Setup!$E$7,EOMONTH(Bench_Setup!$E$6,1),""))</f>
        <v>42429</v>
      </c>
      <c r="D9" s="45">
        <v>4.32</v>
      </c>
      <c r="E9" s="43">
        <v>0.85</v>
      </c>
      <c r="F9" s="43">
        <v>-1.84</v>
      </c>
      <c r="G9" s="43">
        <v>3.24</v>
      </c>
      <c r="H9" s="43">
        <v>-4.12</v>
      </c>
      <c r="I9" s="43">
        <v>-0.45</v>
      </c>
      <c r="J9" s="43">
        <v>0.93</v>
      </c>
      <c r="K9" s="43">
        <v>-2.93</v>
      </c>
      <c r="L9" s="43">
        <v>0</v>
      </c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</row>
    <row r="10" spans="2:53" x14ac:dyDescent="0.2">
      <c r="B10" s="25" t="str">
        <f t="shared" si="0"/>
        <v>[ROW:MAR_2016]</v>
      </c>
      <c r="C10" s="48">
        <f>IF(OR(Bench_Setup!$E$6="",Bench_Setup!$E$7=""),"",IF(EOMONTH(Bench_Setup!$E$6,2)&lt;=Bench_Setup!$E$7,EOMONTH(Bench_Setup!$E$6,2),""))</f>
        <v>42460</v>
      </c>
      <c r="D10" s="45">
        <v>1.77</v>
      </c>
      <c r="E10" s="43">
        <v>-0.48</v>
      </c>
      <c r="F10" s="43">
        <v>5.71</v>
      </c>
      <c r="G10" s="43">
        <v>2.46</v>
      </c>
      <c r="H10" s="43">
        <v>-1.1399999999999999</v>
      </c>
      <c r="I10" s="43">
        <v>-3.64</v>
      </c>
      <c r="J10" s="43">
        <v>-0.46</v>
      </c>
      <c r="K10" s="43">
        <v>1.55</v>
      </c>
      <c r="L10" s="43">
        <v>0.03</v>
      </c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</row>
    <row r="11" spans="2:53" x14ac:dyDescent="0.2">
      <c r="B11" s="25" t="str">
        <f t="shared" si="0"/>
        <v>[ROW:APR_2016]</v>
      </c>
      <c r="C11" s="48">
        <f>IF(OR(Bench_Setup!$E$6="",Bench_Setup!$E$7=""),"",IF(EOMONTH(Bench_Setup!$E$6,3)&lt;=Bench_Setup!$E$7,EOMONTH(Bench_Setup!$E$6,3),""))</f>
        <v>42490</v>
      </c>
      <c r="D11" s="45">
        <v>-4.8899999999999997</v>
      </c>
      <c r="E11" s="43">
        <v>-2.06</v>
      </c>
      <c r="F11" s="43">
        <v>0.96</v>
      </c>
      <c r="G11" s="43">
        <v>-3.63</v>
      </c>
      <c r="H11" s="43">
        <v>-0.56999999999999995</v>
      </c>
      <c r="I11" s="43">
        <v>1.57</v>
      </c>
      <c r="J11" s="43">
        <v>-1.91</v>
      </c>
      <c r="K11" s="43">
        <v>0.53</v>
      </c>
      <c r="L11" s="43">
        <v>-0.09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</row>
    <row r="12" spans="2:53" x14ac:dyDescent="0.2">
      <c r="B12" s="25" t="str">
        <f t="shared" si="0"/>
        <v>[ROW:MAY_2016]</v>
      </c>
      <c r="C12" s="48">
        <f>IF(OR(Bench_Setup!$E$6="",Bench_Setup!$E$7=""),"",IF(EOMONTH(Bench_Setup!$E$6,4)&lt;=Bench_Setup!$E$7,EOMONTH(Bench_Setup!$E$6,4),""))</f>
        <v>42521</v>
      </c>
      <c r="D12" s="45">
        <v>0.54</v>
      </c>
      <c r="E12" s="43">
        <v>2.09</v>
      </c>
      <c r="F12" s="43">
        <v>3.34</v>
      </c>
      <c r="G12" s="43">
        <v>1.4</v>
      </c>
      <c r="H12" s="43">
        <v>0.15</v>
      </c>
      <c r="I12" s="43">
        <v>1.53</v>
      </c>
      <c r="J12" s="43">
        <v>-0.55000000000000004</v>
      </c>
      <c r="K12" s="43">
        <v>-1.1299999999999999</v>
      </c>
      <c r="L12" s="43">
        <v>-0.02</v>
      </c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</row>
    <row r="13" spans="2:53" x14ac:dyDescent="0.2">
      <c r="B13" s="25" t="str">
        <f t="shared" si="0"/>
        <v>[ROW:JUN_2016]</v>
      </c>
      <c r="C13" s="48">
        <f>IF(OR(Bench_Setup!$E$6="",Bench_Setup!$E$7=""),"",IF(EOMONTH(Bench_Setup!$E$6,5)&lt;=Bench_Setup!$E$7,EOMONTH(Bench_Setup!$E$6,5),""))</f>
        <v>42551</v>
      </c>
      <c r="D13" s="45">
        <v>-3.03</v>
      </c>
      <c r="E13" s="43">
        <v>-2.34</v>
      </c>
      <c r="F13" s="43">
        <v>-3.97</v>
      </c>
      <c r="G13" s="43">
        <v>-3.25</v>
      </c>
      <c r="H13" s="43">
        <v>-1.66</v>
      </c>
      <c r="I13" s="43">
        <v>-0.59</v>
      </c>
      <c r="J13" s="43">
        <v>-0.45</v>
      </c>
      <c r="K13" s="43">
        <v>0</v>
      </c>
      <c r="L13" s="43">
        <v>-0.1</v>
      </c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</row>
    <row r="14" spans="2:53" x14ac:dyDescent="0.2">
      <c r="B14" s="25" t="str">
        <f t="shared" si="0"/>
        <v>[ROW:JUL_2016]</v>
      </c>
      <c r="C14" s="48">
        <f>IF(OR(Bench_Setup!$E$6="",Bench_Setup!$E$7=""),"",IF(EOMONTH(Bench_Setup!$E$6,6)&lt;=Bench_Setup!$E$7,EOMONTH(Bench_Setup!$E$6,6),""))</f>
        <v>42582</v>
      </c>
      <c r="D14" s="45">
        <v>2.4500000000000002</v>
      </c>
      <c r="E14" s="43">
        <v>4.38</v>
      </c>
      <c r="F14" s="43">
        <v>-1.79</v>
      </c>
      <c r="G14" s="43">
        <v>7.12</v>
      </c>
      <c r="H14" s="43">
        <v>0.6</v>
      </c>
      <c r="I14" s="43">
        <v>-3.23</v>
      </c>
      <c r="J14" s="43">
        <v>2.5499999999999998</v>
      </c>
      <c r="K14" s="43">
        <v>1.03</v>
      </c>
      <c r="L14" s="43">
        <v>0.11</v>
      </c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</row>
    <row r="15" spans="2:53" x14ac:dyDescent="0.2">
      <c r="B15" s="25" t="str">
        <f t="shared" si="0"/>
        <v>[ROW:AUG_2016]</v>
      </c>
      <c r="C15" s="48">
        <f>IF(OR(Bench_Setup!$E$6="",Bench_Setup!$E$7=""),"",IF(EOMONTH(Bench_Setup!$E$6,7)&lt;=Bench_Setup!$E$7,EOMONTH(Bench_Setup!$E$6,7),""))</f>
        <v>42613</v>
      </c>
      <c r="D15" s="45">
        <v>-3.46</v>
      </c>
      <c r="E15" s="43">
        <v>0.39</v>
      </c>
      <c r="F15" s="43">
        <v>-0.56999999999999995</v>
      </c>
      <c r="G15" s="43">
        <v>-2.09</v>
      </c>
      <c r="H15" s="43">
        <v>-1.47</v>
      </c>
      <c r="I15" s="43">
        <v>1.31</v>
      </c>
      <c r="J15" s="43">
        <v>0.33</v>
      </c>
      <c r="K15" s="43">
        <v>0.28000000000000003</v>
      </c>
      <c r="L15" s="43">
        <v>0.05</v>
      </c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</row>
    <row r="16" spans="2:53" x14ac:dyDescent="0.2">
      <c r="B16" s="25" t="str">
        <f t="shared" si="0"/>
        <v>[ROW:SEP_2016]</v>
      </c>
      <c r="C16" s="48">
        <f>IF(OR(Bench_Setup!$E$6="",Bench_Setup!$E$7=""),"",IF(EOMONTH(Bench_Setup!$E$6,8)&lt;=Bench_Setup!$E$7,EOMONTH(Bench_Setup!$E$6,8),""))</f>
        <v>42643</v>
      </c>
      <c r="D16" s="45">
        <v>4.67</v>
      </c>
      <c r="E16" s="43">
        <v>0.44</v>
      </c>
      <c r="F16" s="43">
        <v>-3.56</v>
      </c>
      <c r="G16" s="43">
        <v>-7.58</v>
      </c>
      <c r="H16" s="43">
        <v>-2.79</v>
      </c>
      <c r="I16" s="43">
        <v>-0.63</v>
      </c>
      <c r="J16" s="43">
        <v>0.85</v>
      </c>
      <c r="K16" s="43">
        <v>0.85</v>
      </c>
      <c r="L16" s="43">
        <v>-7.0000000000000007E-2</v>
      </c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</row>
    <row r="17" spans="2:53" x14ac:dyDescent="0.2">
      <c r="B17" s="25" t="str">
        <f t="shared" si="0"/>
        <v>[ROW:OCT_2016]</v>
      </c>
      <c r="C17" s="48">
        <f>IF(OR(Bench_Setup!$E$6="",Bench_Setup!$E$7=""),"",IF(EOMONTH(Bench_Setup!$E$6,9)&lt;=Bench_Setup!$E$7,EOMONTH(Bench_Setup!$E$6,9),""))</f>
        <v>42674</v>
      </c>
      <c r="D17" s="45">
        <v>3.02</v>
      </c>
      <c r="E17" s="43">
        <v>0.71</v>
      </c>
      <c r="F17" s="43">
        <v>3.1</v>
      </c>
      <c r="G17" s="43">
        <v>-1.85</v>
      </c>
      <c r="H17" s="43">
        <v>-1.29</v>
      </c>
      <c r="I17" s="43">
        <v>-1.83</v>
      </c>
      <c r="J17" s="43">
        <v>0.62</v>
      </c>
      <c r="K17" s="43">
        <v>3.32</v>
      </c>
      <c r="L17" s="43">
        <v>0</v>
      </c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</row>
    <row r="18" spans="2:53" x14ac:dyDescent="0.2">
      <c r="B18" s="25" t="str">
        <f t="shared" si="0"/>
        <v>[ROW:NOV_2016]</v>
      </c>
      <c r="C18" s="48">
        <f>IF(OR(Bench_Setup!$E$6="",Bench_Setup!$E$7=""),"",IF(EOMONTH(Bench_Setup!$E$6,10)&lt;=Bench_Setup!$E$7,EOMONTH(Bench_Setup!$E$6,10),""))</f>
        <v>42704</v>
      </c>
      <c r="D18" s="45">
        <v>9.44</v>
      </c>
      <c r="E18" s="43">
        <v>-0.7</v>
      </c>
      <c r="F18" s="43">
        <v>3.44</v>
      </c>
      <c r="G18" s="43">
        <v>0.13</v>
      </c>
      <c r="H18" s="43">
        <v>1.68</v>
      </c>
      <c r="I18" s="43">
        <v>2.78</v>
      </c>
      <c r="J18" s="43">
        <v>0.31</v>
      </c>
      <c r="K18" s="43">
        <v>-2.48</v>
      </c>
      <c r="L18" s="43">
        <v>0.12</v>
      </c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</row>
    <row r="19" spans="2:53" x14ac:dyDescent="0.2">
      <c r="B19" s="25" t="str">
        <f t="shared" si="0"/>
        <v>[ROW:DEC_2016]</v>
      </c>
      <c r="C19" s="48">
        <f>IF(OR(Bench_Setup!$E$6="",Bench_Setup!$E$7=""),"",IF(EOMONTH(Bench_Setup!$E$6,11)&lt;=Bench_Setup!$E$7,EOMONTH(Bench_Setup!$E$6,11),""))</f>
        <v>42735</v>
      </c>
      <c r="D19" s="45">
        <v>-4.8899999999999997</v>
      </c>
      <c r="E19" s="43">
        <v>-3.81</v>
      </c>
      <c r="F19" s="43">
        <v>12.19</v>
      </c>
      <c r="G19" s="43">
        <v>15.89</v>
      </c>
      <c r="H19" s="43">
        <v>10.63</v>
      </c>
      <c r="I19" s="43">
        <v>2.68</v>
      </c>
      <c r="J19" s="43">
        <v>0.3</v>
      </c>
      <c r="K19" s="43">
        <v>1.55</v>
      </c>
      <c r="L19" s="43">
        <v>0.17</v>
      </c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</row>
    <row r="20" spans="2:53" x14ac:dyDescent="0.2">
      <c r="B20" s="25" t="str">
        <f t="shared" si="0"/>
        <v>[ROW:JAN_2017]</v>
      </c>
      <c r="C20" s="48">
        <f>IF(OR(Bench_Setup!$E$6="",Bench_Setup!$E$7=""),"",IF(EOMONTH(Bench_Setup!$E$6,12)&lt;=Bench_Setup!$E$7,EOMONTH(Bench_Setup!$E$6,12),""))</f>
        <v>42766</v>
      </c>
      <c r="D20" s="45">
        <v>0.71</v>
      </c>
      <c r="E20" s="43">
        <v>9.41</v>
      </c>
      <c r="F20" s="43">
        <v>8.93</v>
      </c>
      <c r="G20" s="43">
        <v>-3.08</v>
      </c>
      <c r="H20" s="43">
        <v>1.1499999999999999</v>
      </c>
      <c r="I20" s="43">
        <v>-0.37</v>
      </c>
      <c r="J20" s="43">
        <v>-0.54</v>
      </c>
      <c r="K20" s="43">
        <v>0.88</v>
      </c>
      <c r="L20" s="43">
        <v>0.04</v>
      </c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</row>
    <row r="21" spans="2:53" x14ac:dyDescent="0.2">
      <c r="B21" s="25" t="str">
        <f t="shared" si="0"/>
        <v>[ROW:FEB_2017]</v>
      </c>
      <c r="C21" s="48">
        <f>IF(OR(Bench_Setup!$E$6="",Bench_Setup!$E$7=""),"",IF(EOMONTH(Bench_Setup!$E$6,13)&lt;=Bench_Setup!$E$7,EOMONTH(Bench_Setup!$E$6,13),""))</f>
        <v>42794</v>
      </c>
      <c r="D21" s="45">
        <v>-0.54</v>
      </c>
      <c r="E21" s="43">
        <v>0.16</v>
      </c>
      <c r="F21" s="43">
        <v>-3.17</v>
      </c>
      <c r="G21" s="43">
        <v>3.46</v>
      </c>
      <c r="H21" s="43">
        <v>0.85</v>
      </c>
      <c r="I21" s="43">
        <v>0.73</v>
      </c>
      <c r="J21" s="43">
        <v>-0.86</v>
      </c>
      <c r="K21" s="43">
        <v>-1.03</v>
      </c>
      <c r="L21" s="43">
        <v>0.04</v>
      </c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</row>
    <row r="22" spans="2:53" x14ac:dyDescent="0.2">
      <c r="B22" s="25" t="str">
        <f t="shared" si="0"/>
        <v>[ROW:MAR_2017]</v>
      </c>
      <c r="C22" s="48">
        <f>IF(OR(Bench_Setup!$E$6="",Bench_Setup!$E$7=""),"",IF(EOMONTH(Bench_Setup!$E$6,14)&lt;=Bench_Setup!$E$7,EOMONTH(Bench_Setup!$E$6,14),""))</f>
        <v>42825</v>
      </c>
      <c r="D22" s="45">
        <v>7.88</v>
      </c>
      <c r="E22" s="43">
        <v>7.99</v>
      </c>
      <c r="F22" s="43">
        <v>2.97</v>
      </c>
      <c r="G22" s="43">
        <v>-3.6</v>
      </c>
      <c r="H22" s="43">
        <v>-0.08</v>
      </c>
      <c r="I22" s="43">
        <v>0.77</v>
      </c>
      <c r="J22" s="43">
        <v>-0.81</v>
      </c>
      <c r="K22" s="43">
        <v>3.77</v>
      </c>
      <c r="L22" s="43">
        <v>0.14000000000000001</v>
      </c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</row>
    <row r="23" spans="2:53" x14ac:dyDescent="0.2">
      <c r="B23" s="25" t="str">
        <f t="shared" si="0"/>
        <v>[ROW:APR_2017]</v>
      </c>
      <c r="C23" s="48">
        <f>IF(OR(Bench_Setup!$E$6="",Bench_Setup!$E$7=""),"",IF(EOMONTH(Bench_Setup!$E$6,15)&lt;=Bench_Setup!$E$7,EOMONTH(Bench_Setup!$E$6,15),""))</f>
        <v>42855</v>
      </c>
      <c r="D23" s="45">
        <v>2.5099999999999998</v>
      </c>
      <c r="E23" s="43">
        <v>0.99</v>
      </c>
      <c r="F23" s="43">
        <v>4.18</v>
      </c>
      <c r="G23" s="43">
        <v>4.62</v>
      </c>
      <c r="H23" s="43">
        <v>-1.21</v>
      </c>
      <c r="I23" s="43">
        <v>1.1299999999999999</v>
      </c>
      <c r="J23" s="43">
        <v>-0.15</v>
      </c>
      <c r="K23" s="43">
        <v>0.98</v>
      </c>
      <c r="L23" s="43">
        <v>0.02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</row>
    <row r="24" spans="2:53" x14ac:dyDescent="0.2">
      <c r="B24" s="25" t="str">
        <f t="shared" si="0"/>
        <v>[ROW:MAY_2017]</v>
      </c>
      <c r="C24" s="48">
        <f>IF(OR(Bench_Setup!$E$6="",Bench_Setup!$E$7=""),"",IF(EOMONTH(Bench_Setup!$E$6,16)&lt;=Bench_Setup!$E$7,EOMONTH(Bench_Setup!$E$6,16),""))</f>
        <v>42886</v>
      </c>
      <c r="D24" s="45">
        <v>4.12</v>
      </c>
      <c r="E24" s="43">
        <v>3.57</v>
      </c>
      <c r="F24" s="43">
        <v>-4.8</v>
      </c>
      <c r="G24" s="43">
        <v>2.76</v>
      </c>
      <c r="H24" s="43">
        <v>0.74</v>
      </c>
      <c r="I24" s="43">
        <v>1.41</v>
      </c>
      <c r="J24" s="43">
        <v>1.29</v>
      </c>
      <c r="K24" s="43">
        <v>0.4</v>
      </c>
      <c r="L24" s="43">
        <v>7.0000000000000007E-2</v>
      </c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</row>
    <row r="25" spans="2:53" x14ac:dyDescent="0.2">
      <c r="B25" s="25" t="str">
        <f t="shared" si="0"/>
        <v>[ROW:JUN_2017]</v>
      </c>
      <c r="C25" s="48">
        <f>IF(OR(Bench_Setup!$E$6="",Bench_Setup!$E$7=""),"",IF(EOMONTH(Bench_Setup!$E$6,17)&lt;=Bench_Setup!$E$7,EOMONTH(Bench_Setup!$E$6,17),""))</f>
        <v>42916</v>
      </c>
      <c r="D25" s="45">
        <v>3.15</v>
      </c>
      <c r="E25" s="43">
        <v>-3.5</v>
      </c>
      <c r="F25" s="43">
        <v>-0.06</v>
      </c>
      <c r="G25" s="43">
        <v>2.06</v>
      </c>
      <c r="H25" s="43">
        <v>0.85</v>
      </c>
      <c r="I25" s="43">
        <v>-1.24</v>
      </c>
      <c r="J25" s="43">
        <v>-0.08</v>
      </c>
      <c r="K25" s="43">
        <v>-1.94</v>
      </c>
      <c r="L25" s="43">
        <v>-0.01</v>
      </c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</row>
    <row r="26" spans="2:53" x14ac:dyDescent="0.2">
      <c r="B26" s="25" t="str">
        <f t="shared" si="0"/>
        <v>[ROW:JUL_2017]</v>
      </c>
      <c r="C26" s="48">
        <f>IF(OR(Bench_Setup!$E$6="",Bench_Setup!$E$7=""),"",IF(EOMONTH(Bench_Setup!$E$6,18)&lt;=Bench_Setup!$E$7,EOMONTH(Bench_Setup!$E$6,18),""))</f>
        <v>42947</v>
      </c>
      <c r="D26" s="45">
        <v>5.08</v>
      </c>
      <c r="E26" s="43">
        <v>4.51</v>
      </c>
      <c r="F26" s="43">
        <v>13.46</v>
      </c>
      <c r="G26" s="43">
        <v>1.6</v>
      </c>
      <c r="H26" s="43">
        <v>0.92</v>
      </c>
      <c r="I26" s="43">
        <v>2.2400000000000002</v>
      </c>
      <c r="J26" s="43">
        <v>0.65</v>
      </c>
      <c r="K26" s="43">
        <v>-0.73</v>
      </c>
      <c r="L26" s="43">
        <v>0.04</v>
      </c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</row>
    <row r="27" spans="2:53" x14ac:dyDescent="0.2">
      <c r="B27" s="25" t="str">
        <f t="shared" si="0"/>
        <v>[ROW:AUG_2017]</v>
      </c>
      <c r="C27" s="48">
        <f>IF(OR(Bench_Setup!$E$6="",Bench_Setup!$E$7=""),"",IF(EOMONTH(Bench_Setup!$E$6,19)&lt;=Bench_Setup!$E$7,EOMONTH(Bench_Setup!$E$6,19),""))</f>
        <v>42978</v>
      </c>
      <c r="D27" s="45">
        <v>-5.0199999999999996</v>
      </c>
      <c r="E27" s="43">
        <v>-3.63</v>
      </c>
      <c r="F27" s="43">
        <v>-9.14</v>
      </c>
      <c r="G27" s="43">
        <v>1.0900000000000001</v>
      </c>
      <c r="H27" s="43">
        <v>1.58</v>
      </c>
      <c r="I27" s="43">
        <v>1</v>
      </c>
      <c r="J27" s="43">
        <v>-0.09</v>
      </c>
      <c r="K27" s="43">
        <v>0.25</v>
      </c>
      <c r="L27" s="43">
        <v>0.08</v>
      </c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</row>
    <row r="28" spans="2:53" x14ac:dyDescent="0.2">
      <c r="B28" s="25" t="str">
        <f t="shared" si="0"/>
        <v>[ROW:SEP_2017]</v>
      </c>
      <c r="C28" s="48">
        <f>IF(OR(Bench_Setup!$E$6="",Bench_Setup!$E$7=""),"",IF(EOMONTH(Bench_Setup!$E$6,20)&lt;=Bench_Setup!$E$7,EOMONTH(Bench_Setup!$E$6,20),""))</f>
        <v>43008</v>
      </c>
      <c r="D28" s="45">
        <v>-5.13</v>
      </c>
      <c r="E28" s="43">
        <v>2.5499999999999998</v>
      </c>
      <c r="F28" s="43">
        <v>-1.47</v>
      </c>
      <c r="G28" s="43">
        <v>4.43</v>
      </c>
      <c r="H28" s="43">
        <v>-0.86</v>
      </c>
      <c r="I28" s="43">
        <v>-0.11</v>
      </c>
      <c r="J28" s="43">
        <v>0.26</v>
      </c>
      <c r="K28" s="43">
        <v>0.23</v>
      </c>
      <c r="L28" s="43">
        <v>0.12</v>
      </c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</row>
    <row r="29" spans="2:53" x14ac:dyDescent="0.2">
      <c r="B29" s="25" t="str">
        <f t="shared" si="0"/>
        <v>[ROW:OCT_2017]</v>
      </c>
      <c r="C29" s="48">
        <f>IF(OR(Bench_Setup!$E$6="",Bench_Setup!$E$7=""),"",IF(EOMONTH(Bench_Setup!$E$6,21)&lt;=Bench_Setup!$E$7,EOMONTH(Bench_Setup!$E$6,21),""))</f>
        <v>43039</v>
      </c>
      <c r="D29" s="45">
        <v>4.1500000000000004</v>
      </c>
      <c r="E29" s="43">
        <v>3.67</v>
      </c>
      <c r="F29" s="43">
        <v>2.34</v>
      </c>
      <c r="G29" s="43">
        <v>4.3099999999999996</v>
      </c>
      <c r="H29" s="43">
        <v>1.78</v>
      </c>
      <c r="I29" s="43">
        <v>2.2400000000000002</v>
      </c>
      <c r="J29" s="43">
        <v>-1.83</v>
      </c>
      <c r="K29" s="43">
        <v>-2.0499999999999998</v>
      </c>
      <c r="L29" s="43">
        <v>0.01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</row>
    <row r="30" spans="2:53" x14ac:dyDescent="0.2">
      <c r="B30" s="25" t="str">
        <f t="shared" si="0"/>
        <v>[ROW:NOV_2017]</v>
      </c>
      <c r="C30" s="48">
        <f>IF(OR(Bench_Setup!$E$6="",Bench_Setup!$E$7=""),"",IF(EOMONTH(Bench_Setup!$E$6,22)&lt;=Bench_Setup!$E$7,EOMONTH(Bench_Setup!$E$6,22),""))</f>
        <v>43069</v>
      </c>
      <c r="D30" s="45">
        <v>11.05</v>
      </c>
      <c r="E30" s="43">
        <v>3.6</v>
      </c>
      <c r="F30" s="43">
        <v>7.86</v>
      </c>
      <c r="G30" s="43">
        <v>0.97</v>
      </c>
      <c r="H30" s="43">
        <v>-0.57999999999999996</v>
      </c>
      <c r="I30" s="43">
        <v>0.02</v>
      </c>
      <c r="J30" s="43">
        <v>-0.41</v>
      </c>
      <c r="K30" s="43">
        <v>-0.02</v>
      </c>
      <c r="L30" s="43">
        <v>0.1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</row>
    <row r="31" spans="2:53" x14ac:dyDescent="0.2">
      <c r="B31" s="25" t="str">
        <f t="shared" si="0"/>
        <v>[ROW:DEC_2017]</v>
      </c>
      <c r="C31" s="48">
        <f>IF(OR(Bench_Setup!$E$6="",Bench_Setup!$E$7=""),"",IF(EOMONTH(Bench_Setup!$E$6,23)&lt;=Bench_Setup!$E$7,EOMONTH(Bench_Setup!$E$6,23),""))</f>
        <v>43100</v>
      </c>
      <c r="D31" s="45">
        <v>-7.19</v>
      </c>
      <c r="E31" s="43">
        <v>-4.6399999999999997</v>
      </c>
      <c r="F31" s="43">
        <v>14.64</v>
      </c>
      <c r="G31" s="43">
        <v>4.05</v>
      </c>
      <c r="H31" s="43">
        <v>-1.81</v>
      </c>
      <c r="I31" s="43">
        <v>-0.59</v>
      </c>
      <c r="J31" s="43">
        <v>6.43</v>
      </c>
      <c r="K31" s="43">
        <v>1.95</v>
      </c>
      <c r="L31" s="43">
        <v>0.22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</row>
    <row r="32" spans="2:53" x14ac:dyDescent="0.2">
      <c r="B32" s="25" t="str">
        <f t="shared" si="0"/>
        <v>[ROW:JAN_2018]</v>
      </c>
      <c r="C32" s="48">
        <f>IF(OR(Bench_Setup!$E$6="",Bench_Setup!$E$7=""),"",IF(EOMONTH(Bench_Setup!$E$6,24)&lt;=Bench_Setup!$E$7,EOMONTH(Bench_Setup!$E$6,24),""))</f>
        <v>43131</v>
      </c>
      <c r="D32" s="45">
        <v>0.6</v>
      </c>
      <c r="E32" s="43">
        <v>1.36</v>
      </c>
      <c r="F32" s="43">
        <v>-7.97</v>
      </c>
      <c r="G32" s="43">
        <v>3.54</v>
      </c>
      <c r="H32" s="43">
        <v>-0.14000000000000001</v>
      </c>
      <c r="I32" s="43">
        <v>0.21</v>
      </c>
      <c r="J32" s="43">
        <v>-1.23</v>
      </c>
      <c r="K32" s="43">
        <v>1.68</v>
      </c>
      <c r="L32" s="43">
        <v>0.25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</row>
    <row r="33" spans="2:53" x14ac:dyDescent="0.2">
      <c r="B33" s="25" t="str">
        <f t="shared" si="0"/>
        <v>[ROW:FEB_2018]</v>
      </c>
      <c r="C33" s="48">
        <f>IF(OR(Bench_Setup!$E$6="",Bench_Setup!$E$7=""),"",IF(EOMONTH(Bench_Setup!$E$6,25)&lt;=Bench_Setup!$E$7,EOMONTH(Bench_Setup!$E$6,25),""))</f>
        <v>43159</v>
      </c>
      <c r="D33" s="45">
        <v>-2.38</v>
      </c>
      <c r="E33" s="43">
        <v>-4.18</v>
      </c>
      <c r="F33" s="43">
        <v>-7.91</v>
      </c>
      <c r="G33" s="43">
        <v>-3</v>
      </c>
      <c r="H33" s="43">
        <v>-0.23</v>
      </c>
      <c r="I33" s="43">
        <v>-1.52</v>
      </c>
      <c r="J33" s="43">
        <v>0.56000000000000005</v>
      </c>
      <c r="K33" s="43">
        <v>0.82</v>
      </c>
      <c r="L33" s="43">
        <v>0.24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</row>
    <row r="34" spans="2:53" x14ac:dyDescent="0.2">
      <c r="B34" s="25" t="str">
        <f t="shared" si="0"/>
        <v>[ROW:MAR_2018]</v>
      </c>
      <c r="C34" s="48">
        <f>IF(OR(Bench_Setup!$E$6="",Bench_Setup!$E$7=""),"",IF(EOMONTH(Bench_Setup!$E$6,26)&lt;=Bench_Setup!$E$7,EOMONTH(Bench_Setup!$E$6,26),""))</f>
        <v>43190</v>
      </c>
      <c r="D34" s="45">
        <v>-1.5</v>
      </c>
      <c r="E34" s="43">
        <v>-0.34</v>
      </c>
      <c r="F34" s="43">
        <v>-9.5500000000000007</v>
      </c>
      <c r="G34" s="43">
        <v>3.47</v>
      </c>
      <c r="H34" s="43">
        <v>0.08</v>
      </c>
      <c r="I34" s="43">
        <v>-0.95</v>
      </c>
      <c r="J34" s="43">
        <v>-1.82</v>
      </c>
      <c r="K34" s="43">
        <v>-1.78</v>
      </c>
      <c r="L34" s="43">
        <v>0.19</v>
      </c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</row>
    <row r="35" spans="2:53" x14ac:dyDescent="0.2">
      <c r="B35" s="25" t="str">
        <f t="shared" si="0"/>
        <v>[ROW:APR_2018]</v>
      </c>
      <c r="C35" s="48">
        <f>IF(OR(Bench_Setup!$E$6="",Bench_Setup!$E$7=""),"",IF(EOMONTH(Bench_Setup!$E$6,27)&lt;=Bench_Setup!$E$7,EOMONTH(Bench_Setup!$E$6,27),""))</f>
        <v>43220</v>
      </c>
      <c r="D35" s="45">
        <v>-1.91</v>
      </c>
      <c r="E35" s="43">
        <v>-2.92</v>
      </c>
      <c r="F35" s="43">
        <v>6.94</v>
      </c>
      <c r="G35" s="43">
        <v>-5.3</v>
      </c>
      <c r="H35" s="43">
        <v>-4.09</v>
      </c>
      <c r="I35" s="43">
        <v>-0.8</v>
      </c>
      <c r="J35" s="43">
        <v>-1.31</v>
      </c>
      <c r="K35" s="43">
        <v>-0.16</v>
      </c>
      <c r="L35" s="43">
        <v>0.15</v>
      </c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</row>
    <row r="36" spans="2:53" x14ac:dyDescent="0.2">
      <c r="B36" s="25" t="str">
        <f t="shared" si="0"/>
        <v>[ROW:MAY_2018]</v>
      </c>
      <c r="C36" s="48">
        <f>IF(OR(Bench_Setup!$E$6="",Bench_Setup!$E$7=""),"",IF(EOMONTH(Bench_Setup!$E$6,28)&lt;=Bench_Setup!$E$7,EOMONTH(Bench_Setup!$E$6,28),""))</f>
        <v>43251</v>
      </c>
      <c r="D36" s="45">
        <v>3.48</v>
      </c>
      <c r="E36" s="43">
        <v>-0.25</v>
      </c>
      <c r="F36" s="43">
        <v>-1.1599999999999999</v>
      </c>
      <c r="G36" s="43">
        <v>7.26</v>
      </c>
      <c r="H36" s="43">
        <v>2.36</v>
      </c>
      <c r="I36" s="43">
        <v>-1.38</v>
      </c>
      <c r="J36" s="43">
        <v>1.22</v>
      </c>
      <c r="K36" s="43">
        <v>-2.11</v>
      </c>
      <c r="L36" s="43">
        <v>0.14000000000000001</v>
      </c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</row>
    <row r="37" spans="2:53" x14ac:dyDescent="0.2">
      <c r="B37" s="25" t="str">
        <f t="shared" si="0"/>
        <v>[ROW:JUN_2018]</v>
      </c>
      <c r="C37" s="48">
        <f>IF(OR(Bench_Setup!$E$6="",Bench_Setup!$E$7=""),"",IF(EOMONTH(Bench_Setup!$E$6,29)&lt;=Bench_Setup!$E$7,EOMONTH(Bench_Setup!$E$6,29),""))</f>
        <v>43281</v>
      </c>
      <c r="D37" s="45">
        <v>-0.2</v>
      </c>
      <c r="E37" s="43">
        <v>4.75</v>
      </c>
      <c r="F37" s="43">
        <v>-10.79</v>
      </c>
      <c r="G37" s="43">
        <v>-9.67</v>
      </c>
      <c r="H37" s="43">
        <v>-1.36</v>
      </c>
      <c r="I37" s="43">
        <v>-1.58</v>
      </c>
      <c r="J37" s="43">
        <v>2.11</v>
      </c>
      <c r="K37" s="43">
        <v>1.1000000000000001</v>
      </c>
      <c r="L37" s="43">
        <v>0.17</v>
      </c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</row>
    <row r="38" spans="2:53" x14ac:dyDescent="0.2">
      <c r="B38" s="25" t="str">
        <f t="shared" si="0"/>
        <v>[ROW:JUL_2018]</v>
      </c>
      <c r="C38" s="48">
        <f>IF(OR(Bench_Setup!$E$6="",Bench_Setup!$E$7=""),"",IF(EOMONTH(Bench_Setup!$E$6,30)&lt;=Bench_Setup!$E$7,EOMONTH(Bench_Setup!$E$6,30),""))</f>
        <v>43312</v>
      </c>
      <c r="D38" s="45">
        <v>0.39</v>
      </c>
      <c r="E38" s="43">
        <v>0.41</v>
      </c>
      <c r="F38" s="43">
        <v>8.1999999999999993</v>
      </c>
      <c r="G38" s="43">
        <v>-1.58</v>
      </c>
      <c r="H38" s="43">
        <v>1.47</v>
      </c>
      <c r="I38" s="43">
        <v>-1.53</v>
      </c>
      <c r="J38" s="43">
        <v>0.83</v>
      </c>
      <c r="K38" s="43">
        <v>-0.53</v>
      </c>
      <c r="L38" s="43">
        <v>0.14000000000000001</v>
      </c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</row>
    <row r="39" spans="2:53" x14ac:dyDescent="0.2">
      <c r="B39" s="25" t="str">
        <f t="shared" si="0"/>
        <v>[ROW:AUG_2018]</v>
      </c>
      <c r="C39" s="48">
        <f>IF(OR(Bench_Setup!$E$6="",Bench_Setup!$E$7=""),"",IF(EOMONTH(Bench_Setup!$E$6,31)&lt;=Bench_Setup!$E$7,EOMONTH(Bench_Setup!$E$6,31),""))</f>
        <v>43343</v>
      </c>
      <c r="D39" s="45">
        <v>-5.19</v>
      </c>
      <c r="E39" s="43">
        <v>-8.1</v>
      </c>
      <c r="F39" s="43">
        <v>0.83</v>
      </c>
      <c r="G39" s="43">
        <v>-1.72</v>
      </c>
      <c r="H39" s="43">
        <v>-1.97</v>
      </c>
      <c r="I39" s="43">
        <v>-2.08</v>
      </c>
      <c r="J39" s="43">
        <v>-0.83</v>
      </c>
      <c r="K39" s="43">
        <v>-0.88</v>
      </c>
      <c r="L39" s="43">
        <v>0.18</v>
      </c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</row>
    <row r="40" spans="2:53" x14ac:dyDescent="0.2">
      <c r="B40" s="25" t="str">
        <f t="shared" ref="B40:B71" si="1">IF(C40="","","[ROW:"&amp;UPPER(TEXT(C40,"MMM"))&amp;"_"&amp;TEXT(C40,"YYYY")&amp;"]")</f>
        <v>[ROW:SEP_2018]</v>
      </c>
      <c r="C40" s="48">
        <f>IF(OR(Bench_Setup!$E$6="",Bench_Setup!$E$7=""),"",IF(EOMONTH(Bench_Setup!$E$6,32)&lt;=Bench_Setup!$E$7,EOMONTH(Bench_Setup!$E$6,32),""))</f>
        <v>43373</v>
      </c>
      <c r="D40" s="45">
        <v>2.2400000000000002</v>
      </c>
      <c r="E40" s="43">
        <v>1.88</v>
      </c>
      <c r="F40" s="43">
        <v>6.84</v>
      </c>
      <c r="G40" s="43">
        <v>5.62</v>
      </c>
      <c r="H40" s="43">
        <v>-4.66</v>
      </c>
      <c r="I40" s="43">
        <v>-3.35</v>
      </c>
      <c r="J40" s="43">
        <v>-0.54</v>
      </c>
      <c r="K40" s="43">
        <v>1.93</v>
      </c>
      <c r="L40" s="43">
        <v>0.16</v>
      </c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</row>
    <row r="41" spans="2:53" x14ac:dyDescent="0.2">
      <c r="B41" s="25" t="str">
        <f t="shared" si="1"/>
        <v>[ROW:OCT_2018]</v>
      </c>
      <c r="C41" s="48">
        <f>IF(OR(Bench_Setup!$E$6="",Bench_Setup!$E$7=""),"",IF(EOMONTH(Bench_Setup!$E$6,33)&lt;=Bench_Setup!$E$7,EOMONTH(Bench_Setup!$E$6,33),""))</f>
        <v>43404</v>
      </c>
      <c r="D41" s="45">
        <v>6.49</v>
      </c>
      <c r="E41" s="43">
        <v>2.79</v>
      </c>
      <c r="F41" s="43">
        <v>-3.64</v>
      </c>
      <c r="G41" s="43">
        <v>3.59</v>
      </c>
      <c r="H41" s="43">
        <v>0.28000000000000003</v>
      </c>
      <c r="I41" s="43">
        <v>-1.94</v>
      </c>
      <c r="J41" s="43">
        <v>-1.1299999999999999</v>
      </c>
      <c r="K41" s="43">
        <v>0.08</v>
      </c>
      <c r="L41" s="43">
        <v>0.16</v>
      </c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</row>
    <row r="42" spans="2:53" x14ac:dyDescent="0.2">
      <c r="B42" s="25" t="str">
        <f t="shared" si="1"/>
        <v>[ROW:NOV_2018]</v>
      </c>
      <c r="C42" s="48">
        <f>IF(OR(Bench_Setup!$E$6="",Bench_Setup!$E$7=""),"",IF(EOMONTH(Bench_Setup!$E$6,34)&lt;=Bench_Setup!$E$7,EOMONTH(Bench_Setup!$E$6,34),""))</f>
        <v>43434</v>
      </c>
      <c r="D42" s="45">
        <v>2.06</v>
      </c>
      <c r="E42" s="43">
        <v>-0.64</v>
      </c>
      <c r="F42" s="43">
        <v>-8.0299999999999994</v>
      </c>
      <c r="G42" s="43">
        <v>-12.76</v>
      </c>
      <c r="H42" s="43">
        <v>-1.39</v>
      </c>
      <c r="I42" s="43">
        <v>0.8</v>
      </c>
      <c r="J42" s="43">
        <v>-0.71</v>
      </c>
      <c r="K42" s="43">
        <v>-1.83</v>
      </c>
      <c r="L42" s="43">
        <v>7.0000000000000007E-2</v>
      </c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</row>
    <row r="43" spans="2:53" x14ac:dyDescent="0.2">
      <c r="B43" s="25" t="str">
        <f t="shared" si="1"/>
        <v>[ROW:DEC_2018]</v>
      </c>
      <c r="C43" s="48">
        <f>IF(OR(Bench_Setup!$E$6="",Bench_Setup!$E$7=""),"",IF(EOMONTH(Bench_Setup!$E$6,35)&lt;=Bench_Setup!$E$7,EOMONTH(Bench_Setup!$E$6,35),""))</f>
        <v>43465</v>
      </c>
      <c r="D43" s="45">
        <v>-8.91</v>
      </c>
      <c r="E43" s="43">
        <v>-10.38</v>
      </c>
      <c r="F43" s="43">
        <v>13.7</v>
      </c>
      <c r="G43" s="43">
        <v>0.8</v>
      </c>
      <c r="H43" s="43">
        <v>5.03</v>
      </c>
      <c r="I43" s="43">
        <v>11.62</v>
      </c>
      <c r="J43" s="43">
        <v>2.85</v>
      </c>
      <c r="K43" s="43">
        <v>3.1</v>
      </c>
      <c r="L43" s="43">
        <v>0.03</v>
      </c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</row>
    <row r="44" spans="2:53" x14ac:dyDescent="0.2">
      <c r="B44" s="25" t="str">
        <f t="shared" si="1"/>
        <v>[ROW:JAN_2019]</v>
      </c>
      <c r="C44" s="48">
        <f>IF(OR(Bench_Setup!$E$6="",Bench_Setup!$E$7=""),"",IF(EOMONTH(Bench_Setup!$E$6,36)&lt;=Bench_Setup!$E$7,EOMONTH(Bench_Setup!$E$6,36),""))</f>
        <v>43496</v>
      </c>
      <c r="D44" s="45">
        <v>4.32</v>
      </c>
      <c r="E44" s="43">
        <v>-1.1100000000000001</v>
      </c>
      <c r="F44" s="43">
        <v>4.91</v>
      </c>
      <c r="G44" s="43">
        <v>-5.79</v>
      </c>
      <c r="H44" s="43">
        <v>-0.97</v>
      </c>
      <c r="I44" s="43">
        <v>3.92</v>
      </c>
      <c r="J44" s="43">
        <v>1.78</v>
      </c>
      <c r="K44" s="43">
        <v>-0.57999999999999996</v>
      </c>
      <c r="L44" s="43">
        <v>0.28000000000000003</v>
      </c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</row>
    <row r="45" spans="2:53" x14ac:dyDescent="0.2">
      <c r="B45" s="25" t="str">
        <f t="shared" si="1"/>
        <v>[ROW:FEB_2019]</v>
      </c>
      <c r="C45" s="48">
        <f>IF(OR(Bench_Setup!$E$6="",Bench_Setup!$E$7=""),"",IF(EOMONTH(Bench_Setup!$E$6,37)&lt;=Bench_Setup!$E$7,EOMONTH(Bench_Setup!$E$6,37),""))</f>
        <v>43524</v>
      </c>
      <c r="D45" s="45">
        <v>4.2</v>
      </c>
      <c r="E45" s="43">
        <v>4.29</v>
      </c>
      <c r="F45" s="43">
        <v>7.31</v>
      </c>
      <c r="G45" s="43">
        <v>-3.99</v>
      </c>
      <c r="H45" s="43">
        <v>0.72</v>
      </c>
      <c r="I45" s="43">
        <v>-2</v>
      </c>
      <c r="J45" s="43">
        <v>-0.77</v>
      </c>
      <c r="K45" s="43">
        <v>-0.08</v>
      </c>
      <c r="L45" s="43">
        <v>0.21</v>
      </c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</row>
    <row r="46" spans="2:53" x14ac:dyDescent="0.2">
      <c r="B46" s="25" t="str">
        <f t="shared" si="1"/>
        <v>[ROW:MAR_2019]</v>
      </c>
      <c r="C46" s="48">
        <f>IF(OR(Bench_Setup!$E$6="",Bench_Setup!$E$7=""),"",IF(EOMONTH(Bench_Setup!$E$6,38)&lt;=Bench_Setup!$E$7,EOMONTH(Bench_Setup!$E$6,38),""))</f>
        <v>43555</v>
      </c>
      <c r="D46" s="45">
        <v>1.44</v>
      </c>
      <c r="E46" s="43">
        <v>-9.6</v>
      </c>
      <c r="F46" s="43">
        <v>-3.15</v>
      </c>
      <c r="G46" s="43">
        <v>6.58</v>
      </c>
      <c r="H46" s="43">
        <v>-1.53</v>
      </c>
      <c r="I46" s="43">
        <v>0.87</v>
      </c>
      <c r="J46" s="43">
        <v>0</v>
      </c>
      <c r="K46" s="43">
        <v>0.97</v>
      </c>
      <c r="L46" s="43">
        <v>0.23</v>
      </c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</row>
    <row r="47" spans="2:53" x14ac:dyDescent="0.2">
      <c r="B47" s="25" t="str">
        <f t="shared" si="1"/>
        <v>[ROW:APR_2019]</v>
      </c>
      <c r="C47" s="48">
        <f>IF(OR(Bench_Setup!$E$6="",Bench_Setup!$E$7=""),"",IF(EOMONTH(Bench_Setup!$E$6,39)&lt;=Bench_Setup!$E$7,EOMONTH(Bench_Setup!$E$6,39),""))</f>
        <v>43585</v>
      </c>
      <c r="D47" s="45">
        <v>-6.84</v>
      </c>
      <c r="E47" s="43">
        <v>-10.85</v>
      </c>
      <c r="F47" s="43">
        <v>4.2300000000000004</v>
      </c>
      <c r="G47" s="43">
        <v>7.24</v>
      </c>
      <c r="H47" s="43">
        <v>0.54</v>
      </c>
      <c r="I47" s="43">
        <v>-0.69</v>
      </c>
      <c r="J47" s="43">
        <v>-0.04</v>
      </c>
      <c r="K47" s="43">
        <v>-1.08</v>
      </c>
      <c r="L47" s="43">
        <v>0.13</v>
      </c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</row>
    <row r="48" spans="2:53" x14ac:dyDescent="0.2">
      <c r="B48" s="25" t="str">
        <f t="shared" si="1"/>
        <v>[ROW:MAY_2019]</v>
      </c>
      <c r="C48" s="48">
        <f>IF(OR(Bench_Setup!$E$6="",Bench_Setup!$E$7=""),"",IF(EOMONTH(Bench_Setup!$E$6,40)&lt;=Bench_Setup!$E$7,EOMONTH(Bench_Setup!$E$6,40),""))</f>
        <v>43616</v>
      </c>
      <c r="D48" s="45">
        <v>-0.74</v>
      </c>
      <c r="E48" s="43">
        <v>4.5599999999999996</v>
      </c>
      <c r="F48" s="43">
        <v>-1.19</v>
      </c>
      <c r="G48" s="43">
        <v>-3.65</v>
      </c>
      <c r="H48" s="43">
        <v>-0.78</v>
      </c>
      <c r="I48" s="43">
        <v>2.33</v>
      </c>
      <c r="J48" s="43">
        <v>-0.4</v>
      </c>
      <c r="K48" s="43">
        <v>0.41</v>
      </c>
      <c r="L48" s="43">
        <v>0.08</v>
      </c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</row>
    <row r="49" spans="2:53" x14ac:dyDescent="0.2">
      <c r="B49" s="25" t="str">
        <f t="shared" si="1"/>
        <v>[ROW:JUN_2019]</v>
      </c>
      <c r="C49" s="48">
        <f>IF(OR(Bench_Setup!$E$6="",Bench_Setup!$E$7=""),"",IF(EOMONTH(Bench_Setup!$E$6,41)&lt;=Bench_Setup!$E$7,EOMONTH(Bench_Setup!$E$6,41),""))</f>
        <v>43646</v>
      </c>
      <c r="D49" s="45">
        <v>-2.09</v>
      </c>
      <c r="E49" s="43">
        <v>-0.21</v>
      </c>
      <c r="F49" s="43">
        <v>-6.61</v>
      </c>
      <c r="G49" s="43">
        <v>-0.34</v>
      </c>
      <c r="H49" s="43">
        <v>-0.42</v>
      </c>
      <c r="I49" s="43">
        <v>0.94</v>
      </c>
      <c r="J49" s="43">
        <v>1.58</v>
      </c>
      <c r="K49" s="43">
        <v>-1.07</v>
      </c>
      <c r="L49" s="43">
        <v>0.14000000000000001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</row>
    <row r="50" spans="2:53" x14ac:dyDescent="0.2">
      <c r="B50" s="25" t="str">
        <f t="shared" si="1"/>
        <v>[ROW:JUL_2019]</v>
      </c>
      <c r="C50" s="48">
        <f>IF(OR(Bench_Setup!$E$6="",Bench_Setup!$E$7=""),"",IF(EOMONTH(Bench_Setup!$E$6,42)&lt;=Bench_Setup!$E$7,EOMONTH(Bench_Setup!$E$6,42),""))</f>
        <v>43677</v>
      </c>
      <c r="D50" s="45">
        <v>-1.24</v>
      </c>
      <c r="E50" s="43">
        <v>9.84</v>
      </c>
      <c r="F50" s="43">
        <v>6.72</v>
      </c>
      <c r="G50" s="43">
        <v>3.63</v>
      </c>
      <c r="H50" s="43">
        <v>-1.55</v>
      </c>
      <c r="I50" s="43">
        <v>0.59</v>
      </c>
      <c r="J50" s="43">
        <v>2.12</v>
      </c>
      <c r="K50" s="43">
        <v>1.86</v>
      </c>
      <c r="L50" s="43">
        <v>7.0000000000000007E-2</v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</row>
    <row r="51" spans="2:53" x14ac:dyDescent="0.2">
      <c r="B51" s="25" t="str">
        <f t="shared" si="1"/>
        <v>[ROW:AUG_2019]</v>
      </c>
      <c r="C51" s="48">
        <f>IF(OR(Bench_Setup!$E$6="",Bench_Setup!$E$7=""),"",IF(EOMONTH(Bench_Setup!$E$6,43)&lt;=Bench_Setup!$E$7,EOMONTH(Bench_Setup!$E$6,43),""))</f>
        <v>43708</v>
      </c>
      <c r="D51" s="45">
        <v>3.29</v>
      </c>
      <c r="E51" s="43">
        <v>6.84</v>
      </c>
      <c r="F51" s="43">
        <v>5.5</v>
      </c>
      <c r="G51" s="43">
        <v>0.32</v>
      </c>
      <c r="H51" s="43">
        <v>4.6900000000000004</v>
      </c>
      <c r="I51" s="43">
        <v>1.26</v>
      </c>
      <c r="J51" s="43">
        <v>0.3</v>
      </c>
      <c r="K51" s="43">
        <v>-1.0900000000000001</v>
      </c>
      <c r="L51" s="43">
        <v>-0.05</v>
      </c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</row>
    <row r="52" spans="2:53" x14ac:dyDescent="0.2">
      <c r="B52" s="25" t="str">
        <f t="shared" si="1"/>
        <v>[ROW:SEP_2019]</v>
      </c>
      <c r="C52" s="48">
        <f>IF(OR(Bench_Setup!$E$6="",Bench_Setup!$E$7=""),"",IF(EOMONTH(Bench_Setup!$E$6,44)&lt;=Bench_Setup!$E$7,EOMONTH(Bench_Setup!$E$6,44),""))</f>
        <v>43738</v>
      </c>
      <c r="D52" s="45">
        <v>-1.88</v>
      </c>
      <c r="E52" s="43">
        <v>5.75</v>
      </c>
      <c r="F52" s="43">
        <v>6.38</v>
      </c>
      <c r="G52" s="43">
        <v>-2.79</v>
      </c>
      <c r="H52" s="43">
        <v>2.2799999999999998</v>
      </c>
      <c r="I52" s="43">
        <v>2.93</v>
      </c>
      <c r="J52" s="43">
        <v>0.14000000000000001</v>
      </c>
      <c r="K52" s="43">
        <v>1.29</v>
      </c>
      <c r="L52" s="43">
        <v>0.17</v>
      </c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</row>
    <row r="53" spans="2:53" x14ac:dyDescent="0.2">
      <c r="B53" s="25" t="str">
        <f t="shared" si="1"/>
        <v>[ROW:OCT_2019]</v>
      </c>
      <c r="C53" s="48">
        <f>IF(OR(Bench_Setup!$E$6="",Bench_Setup!$E$7=""),"",IF(EOMONTH(Bench_Setup!$E$6,45)&lt;=Bench_Setup!$E$7,EOMONTH(Bench_Setup!$E$6,45),""))</f>
        <v>43769</v>
      </c>
      <c r="D53" s="45">
        <v>1.33</v>
      </c>
      <c r="E53" s="43">
        <v>5.89</v>
      </c>
      <c r="F53" s="43">
        <v>-2.19</v>
      </c>
      <c r="G53" s="43">
        <v>1.25</v>
      </c>
      <c r="H53" s="43">
        <v>2.4</v>
      </c>
      <c r="I53" s="43">
        <v>-2.2999999999999998</v>
      </c>
      <c r="J53" s="43">
        <v>2.57</v>
      </c>
      <c r="K53" s="43">
        <v>1.96</v>
      </c>
      <c r="L53" s="43">
        <v>0.11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</row>
    <row r="54" spans="2:53" x14ac:dyDescent="0.2">
      <c r="B54" s="25" t="str">
        <f t="shared" si="1"/>
        <v>[ROW:NOV_2019]</v>
      </c>
      <c r="C54" s="48">
        <f>IF(OR(Bench_Setup!$E$6="",Bench_Setup!$E$7=""),"",IF(EOMONTH(Bench_Setup!$E$6,46)&lt;=Bench_Setup!$E$7,EOMONTH(Bench_Setup!$E$6,46),""))</f>
        <v>43799</v>
      </c>
      <c r="D54" s="45">
        <v>7.5</v>
      </c>
      <c r="E54" s="43">
        <v>-1.24</v>
      </c>
      <c r="F54" s="43">
        <v>2.59</v>
      </c>
      <c r="G54" s="43">
        <v>8.02</v>
      </c>
      <c r="H54" s="43">
        <v>-1.96</v>
      </c>
      <c r="I54" s="43">
        <v>0.03</v>
      </c>
      <c r="J54" s="43">
        <v>3.25</v>
      </c>
      <c r="K54" s="43">
        <v>0.33</v>
      </c>
      <c r="L54" s="43">
        <v>0.22</v>
      </c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</row>
    <row r="55" spans="2:53" x14ac:dyDescent="0.2">
      <c r="B55" s="25" t="str">
        <f t="shared" si="1"/>
        <v>[ROW:DEC_2019]</v>
      </c>
      <c r="C55" s="48">
        <f>IF(OR(Bench_Setup!$E$6="",Bench_Setup!$E$7=""),"",IF(EOMONTH(Bench_Setup!$E$6,47)&lt;=Bench_Setup!$E$7,EOMONTH(Bench_Setup!$E$6,47),""))</f>
        <v>43830</v>
      </c>
      <c r="D55" s="45">
        <v>20.170000000000002</v>
      </c>
      <c r="E55" s="43">
        <v>10.11</v>
      </c>
      <c r="F55" s="43">
        <v>-8.66</v>
      </c>
      <c r="G55" s="43">
        <v>14.29</v>
      </c>
      <c r="H55" s="43">
        <v>5.53</v>
      </c>
      <c r="I55" s="43">
        <v>0.82</v>
      </c>
      <c r="J55" s="43">
        <v>-2.11</v>
      </c>
      <c r="K55" s="43">
        <v>3.95</v>
      </c>
      <c r="L55" s="43">
        <v>0.51</v>
      </c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</row>
    <row r="56" spans="2:53" x14ac:dyDescent="0.2">
      <c r="B56" s="25" t="str">
        <f t="shared" si="1"/>
        <v>[ROW:JAN_2020]</v>
      </c>
      <c r="C56" s="48">
        <f>IF(OR(Bench_Setup!$E$6="",Bench_Setup!$E$7=""),"",IF(EOMONTH(Bench_Setup!$E$6,48)&lt;=Bench_Setup!$E$7,EOMONTH(Bench_Setup!$E$6,48),""))</f>
        <v>43861</v>
      </c>
      <c r="D56" s="45">
        <v>3.7</v>
      </c>
      <c r="E56" s="43">
        <v>3.16</v>
      </c>
      <c r="F56" s="43">
        <v>-5.7</v>
      </c>
      <c r="G56" s="43">
        <v>3.55</v>
      </c>
      <c r="H56" s="43">
        <v>0.03</v>
      </c>
      <c r="I56" s="43">
        <v>-0.77</v>
      </c>
      <c r="J56" s="43">
        <v>0.99</v>
      </c>
      <c r="K56" s="43">
        <v>0.63</v>
      </c>
      <c r="L56" s="43">
        <v>-0.09</v>
      </c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</row>
    <row r="57" spans="2:53" x14ac:dyDescent="0.2">
      <c r="B57" s="25" t="str">
        <f t="shared" si="1"/>
        <v>[ROW:FEB_2020]</v>
      </c>
      <c r="C57" s="48">
        <f>IF(OR(Bench_Setup!$E$6="",Bench_Setup!$E$7=""),"",IF(EOMONTH(Bench_Setup!$E$6,49)&lt;=Bench_Setup!$E$7,EOMONTH(Bench_Setup!$E$6,49),""))</f>
        <v>43890</v>
      </c>
      <c r="D57" s="45">
        <v>-1.36</v>
      </c>
      <c r="E57" s="43">
        <v>-5.16</v>
      </c>
      <c r="F57" s="43">
        <v>6.61</v>
      </c>
      <c r="G57" s="43">
        <v>5.2</v>
      </c>
      <c r="H57" s="43">
        <v>0.89</v>
      </c>
      <c r="I57" s="43">
        <v>2.81</v>
      </c>
      <c r="J57" s="43">
        <v>0.59</v>
      </c>
      <c r="K57" s="43">
        <v>-1.31</v>
      </c>
      <c r="L57" s="43">
        <v>-0.08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</row>
    <row r="58" spans="2:53" x14ac:dyDescent="0.2">
      <c r="B58" s="25" t="str">
        <f t="shared" si="1"/>
        <v>[ROW:MAR_2020]</v>
      </c>
      <c r="C58" s="48">
        <f>IF(OR(Bench_Setup!$E$6="",Bench_Setup!$E$7=""),"",IF(EOMONTH(Bench_Setup!$E$6,50)&lt;=Bench_Setup!$E$7,EOMONTH(Bench_Setup!$E$6,50),""))</f>
        <v>43921</v>
      </c>
      <c r="D58" s="45">
        <v>-14.4</v>
      </c>
      <c r="E58" s="43">
        <v>-12.04</v>
      </c>
      <c r="F58" s="43">
        <v>-9.27</v>
      </c>
      <c r="G58" s="43">
        <v>-9.16</v>
      </c>
      <c r="H58" s="43">
        <v>-1.78</v>
      </c>
      <c r="I58" s="43">
        <v>-2.36</v>
      </c>
      <c r="J58" s="43">
        <v>-1.39</v>
      </c>
      <c r="K58" s="43">
        <v>-1.69</v>
      </c>
      <c r="L58" s="43">
        <v>-0.1</v>
      </c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</row>
    <row r="59" spans="2:53" x14ac:dyDescent="0.2">
      <c r="B59" s="25" t="str">
        <f t="shared" si="1"/>
        <v>[ROW:APR_2020]</v>
      </c>
      <c r="C59" s="48">
        <f>IF(OR(Bench_Setup!$E$6="",Bench_Setup!$E$7=""),"",IF(EOMONTH(Bench_Setup!$E$6,51)&lt;=Bench_Setup!$E$7,EOMONTH(Bench_Setup!$E$6,51),""))</f>
        <v>43951</v>
      </c>
      <c r="D59" s="45">
        <v>9.76</v>
      </c>
      <c r="E59" s="43">
        <v>12.65</v>
      </c>
      <c r="F59" s="43">
        <v>11.58</v>
      </c>
      <c r="G59" s="43">
        <v>3.8</v>
      </c>
      <c r="H59" s="43">
        <v>2.38</v>
      </c>
      <c r="I59" s="43">
        <v>5.73</v>
      </c>
      <c r="J59" s="43">
        <v>0.64</v>
      </c>
      <c r="K59" s="43">
        <v>2.8</v>
      </c>
      <c r="L59" s="43">
        <v>0.17</v>
      </c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</row>
    <row r="60" spans="2:53" x14ac:dyDescent="0.2">
      <c r="B60" s="25" t="str">
        <f t="shared" si="1"/>
        <v>[ROW:MAY_2020]</v>
      </c>
      <c r="C60" s="48">
        <f>IF(OR(Bench_Setup!$E$6="",Bench_Setup!$E$7=""),"",IF(EOMONTH(Bench_Setup!$E$6,52)&lt;=Bench_Setup!$E$7,EOMONTH(Bench_Setup!$E$6,52),""))</f>
        <v>43982</v>
      </c>
      <c r="D60" s="45">
        <v>4.62</v>
      </c>
      <c r="E60" s="43">
        <v>5.57</v>
      </c>
      <c r="F60" s="43">
        <v>5.61</v>
      </c>
      <c r="G60" s="43">
        <v>1.52</v>
      </c>
      <c r="H60" s="43">
        <v>0.3</v>
      </c>
      <c r="I60" s="43">
        <v>-0.27</v>
      </c>
      <c r="J60" s="43">
        <v>0.38</v>
      </c>
      <c r="K60" s="43">
        <v>-2.21</v>
      </c>
      <c r="L60" s="43">
        <v>0.05</v>
      </c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</row>
    <row r="61" spans="2:53" x14ac:dyDescent="0.2">
      <c r="B61" s="25" t="str">
        <f t="shared" si="1"/>
        <v>[ROW:JUN_2020]</v>
      </c>
      <c r="C61" s="48">
        <f>IF(OR(Bench_Setup!$E$6="",Bench_Setup!$E$7=""),"",IF(EOMONTH(Bench_Setup!$E$6,53)&lt;=Bench_Setup!$E$7,EOMONTH(Bench_Setup!$E$6,53),""))</f>
        <v>44012</v>
      </c>
      <c r="D61" s="45">
        <v>-5.86</v>
      </c>
      <c r="E61" s="43">
        <v>0.73</v>
      </c>
      <c r="F61" s="43">
        <v>1.41</v>
      </c>
      <c r="G61" s="43">
        <v>3.39</v>
      </c>
      <c r="H61" s="43">
        <v>2.42</v>
      </c>
      <c r="I61" s="43">
        <v>0.93</v>
      </c>
      <c r="J61" s="43">
        <v>2.4300000000000002</v>
      </c>
      <c r="K61" s="43">
        <v>0.55000000000000004</v>
      </c>
      <c r="L61" s="43">
        <v>0.11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</row>
    <row r="62" spans="2:53" x14ac:dyDescent="0.2">
      <c r="B62" s="25" t="str">
        <f t="shared" si="1"/>
        <v>[ROW:JUL_2020]</v>
      </c>
      <c r="C62" s="48">
        <f>IF(OR(Bench_Setup!$E$6="",Bench_Setup!$E$7=""),"",IF(EOMONTH(Bench_Setup!$E$6,54)&lt;=Bench_Setup!$E$7,EOMONTH(Bench_Setup!$E$6,54),""))</f>
        <v>44043</v>
      </c>
      <c r="D62" s="45">
        <v>-0.18</v>
      </c>
      <c r="E62" s="43">
        <v>-1.46</v>
      </c>
      <c r="F62" s="43">
        <v>-1.73</v>
      </c>
      <c r="G62" s="43">
        <v>-4.88</v>
      </c>
      <c r="H62" s="43">
        <v>1.95</v>
      </c>
      <c r="I62" s="43">
        <v>0.13</v>
      </c>
      <c r="J62" s="43">
        <v>-0.68</v>
      </c>
      <c r="K62" s="43">
        <v>4.28</v>
      </c>
      <c r="L62" s="43">
        <v>0.02</v>
      </c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</row>
    <row r="63" spans="2:53" x14ac:dyDescent="0.2">
      <c r="B63" s="25" t="str">
        <f t="shared" si="1"/>
        <v>[ROW:AUG_2020]</v>
      </c>
      <c r="C63" s="48">
        <f>IF(OR(Bench_Setup!$E$6="",Bench_Setup!$E$7=""),"",IF(EOMONTH(Bench_Setup!$E$6,55)&lt;=Bench_Setup!$E$7,EOMONTH(Bench_Setup!$E$6,55),""))</f>
        <v>44074</v>
      </c>
      <c r="D63" s="45">
        <v>-0.86</v>
      </c>
      <c r="E63" s="43">
        <v>6.28</v>
      </c>
      <c r="F63" s="43">
        <v>2.99</v>
      </c>
      <c r="G63" s="43">
        <v>-3.86</v>
      </c>
      <c r="H63" s="43">
        <v>3.85</v>
      </c>
      <c r="I63" s="43">
        <v>-7.0000000000000007E-2</v>
      </c>
      <c r="J63" s="43">
        <v>-0.21</v>
      </c>
      <c r="K63" s="43">
        <v>1.54</v>
      </c>
      <c r="L63" s="43">
        <v>-0.01</v>
      </c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</row>
    <row r="64" spans="2:53" x14ac:dyDescent="0.2">
      <c r="B64" s="25" t="str">
        <f t="shared" si="1"/>
        <v>[ROW:SEP_2020]</v>
      </c>
      <c r="C64" s="48">
        <f>IF(OR(Bench_Setup!$E$6="",Bench_Setup!$E$7=""),"",IF(EOMONTH(Bench_Setup!$E$6,56)&lt;=Bench_Setup!$E$7,EOMONTH(Bench_Setup!$E$6,56),""))</f>
        <v>44104</v>
      </c>
      <c r="D64" s="45">
        <v>6.28</v>
      </c>
      <c r="E64" s="43">
        <v>4.99</v>
      </c>
      <c r="F64" s="43">
        <v>7.85</v>
      </c>
      <c r="G64" s="43">
        <v>7.02</v>
      </c>
      <c r="H64" s="43">
        <v>-1.25</v>
      </c>
      <c r="I64" s="43">
        <v>4</v>
      </c>
      <c r="J64" s="43">
        <v>2.3199999999999998</v>
      </c>
      <c r="K64" s="43">
        <v>-1.01</v>
      </c>
      <c r="L64" s="43">
        <v>0.09</v>
      </c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</row>
    <row r="65" spans="2:53" x14ac:dyDescent="0.2">
      <c r="B65" s="25" t="str">
        <f t="shared" si="1"/>
        <v>[ROW:OCT_2020]</v>
      </c>
      <c r="C65" s="48">
        <f>IF(OR(Bench_Setup!$E$6="",Bench_Setup!$E$7=""),"",IF(EOMONTH(Bench_Setup!$E$6,57)&lt;=Bench_Setup!$E$7,EOMONTH(Bench_Setup!$E$6,57),""))</f>
        <v>44135</v>
      </c>
      <c r="D65" s="45">
        <v>-5.32</v>
      </c>
      <c r="E65" s="43">
        <v>1.2</v>
      </c>
      <c r="F65" s="43">
        <v>3.67</v>
      </c>
      <c r="G65" s="43">
        <v>4.28</v>
      </c>
      <c r="H65" s="43">
        <v>3.47</v>
      </c>
      <c r="I65" s="43">
        <v>-2.33</v>
      </c>
      <c r="J65" s="43">
        <v>0.3</v>
      </c>
      <c r="K65" s="43">
        <v>1.24</v>
      </c>
      <c r="L65" s="43">
        <v>-0.03</v>
      </c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</row>
    <row r="66" spans="2:53" x14ac:dyDescent="0.2">
      <c r="B66" s="25" t="str">
        <f t="shared" si="1"/>
        <v>[ROW:NOV_2020]</v>
      </c>
      <c r="C66" s="48">
        <f>IF(OR(Bench_Setup!$E$6="",Bench_Setup!$E$7=""),"",IF(EOMONTH(Bench_Setup!$E$6,58)&lt;=Bench_Setup!$E$7,EOMONTH(Bench_Setup!$E$6,58),""))</f>
        <v>44165</v>
      </c>
      <c r="D66" s="45">
        <v>7.0000000000000007E-2</v>
      </c>
      <c r="E66" s="43">
        <v>3.39</v>
      </c>
      <c r="F66" s="43">
        <v>6.65</v>
      </c>
      <c r="G66" s="43">
        <v>0.67</v>
      </c>
      <c r="H66" s="43">
        <v>-1.65</v>
      </c>
      <c r="I66" s="43">
        <v>-1.25</v>
      </c>
      <c r="J66" s="43">
        <v>-0.53</v>
      </c>
      <c r="K66" s="43">
        <v>1.98</v>
      </c>
      <c r="L66" s="43">
        <v>0.08</v>
      </c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</row>
    <row r="67" spans="2:53" x14ac:dyDescent="0.2">
      <c r="B67" s="25" t="str">
        <f t="shared" si="1"/>
        <v>[ROW:DEC_2020]</v>
      </c>
      <c r="C67" s="48">
        <f>IF(OR(Bench_Setup!$E$6="",Bench_Setup!$E$7=""),"",IF(EOMONTH(Bench_Setup!$E$6,59)&lt;=Bench_Setup!$E$7,EOMONTH(Bench_Setup!$E$6,59),""))</f>
        <v>44196</v>
      </c>
      <c r="D67" s="45">
        <v>23.78</v>
      </c>
      <c r="E67" s="43">
        <v>-6.93</v>
      </c>
      <c r="F67" s="43">
        <v>-7.67</v>
      </c>
      <c r="G67" s="43">
        <v>6.4</v>
      </c>
      <c r="H67" s="43">
        <v>-5.35</v>
      </c>
      <c r="I67" s="43">
        <v>0.83</v>
      </c>
      <c r="J67" s="43">
        <v>2.04</v>
      </c>
      <c r="K67" s="43">
        <v>1.18</v>
      </c>
      <c r="L67" s="43">
        <v>0.33</v>
      </c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</row>
    <row r="68" spans="2:53" x14ac:dyDescent="0.2">
      <c r="B68" s="25" t="str">
        <f t="shared" si="1"/>
        <v>[ROW:JAN_2021]</v>
      </c>
      <c r="C68" s="48">
        <f>IF(OR(Bench_Setup!$E$6="",Bench_Setup!$E$7=""),"",IF(EOMONTH(Bench_Setup!$E$6,60)&lt;=Bench_Setup!$E$7,EOMONTH(Bench_Setup!$E$6,60),""))</f>
        <v>44227</v>
      </c>
      <c r="D68" s="45">
        <v>2.04</v>
      </c>
      <c r="E68" s="43">
        <v>0.02</v>
      </c>
      <c r="F68" s="43">
        <v>-4.01</v>
      </c>
      <c r="G68" s="43">
        <v>-0.44</v>
      </c>
      <c r="H68" s="43">
        <v>1.1599999999999999</v>
      </c>
      <c r="I68" s="43">
        <v>2.69</v>
      </c>
      <c r="J68" s="43">
        <v>-1.03</v>
      </c>
      <c r="K68" s="43">
        <v>-0.98</v>
      </c>
      <c r="L68" s="43">
        <v>0.12</v>
      </c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</row>
    <row r="69" spans="2:53" x14ac:dyDescent="0.2">
      <c r="B69" s="25" t="str">
        <f t="shared" si="1"/>
        <v>[ROW:FEB_2021]</v>
      </c>
      <c r="C69" s="48">
        <f>IF(OR(Bench_Setup!$E$6="",Bench_Setup!$E$7=""),"",IF(EOMONTH(Bench_Setup!$E$6,61)&lt;=Bench_Setup!$E$7,EOMONTH(Bench_Setup!$E$6,61),""))</f>
        <v>44255</v>
      </c>
      <c r="D69" s="45">
        <v>0.56000000000000005</v>
      </c>
      <c r="E69" s="43">
        <v>-1.41</v>
      </c>
      <c r="F69" s="43">
        <v>1.28</v>
      </c>
      <c r="G69" s="43">
        <v>4.16</v>
      </c>
      <c r="H69" s="43">
        <v>1.76</v>
      </c>
      <c r="I69" s="43">
        <v>1.06</v>
      </c>
      <c r="J69" s="43">
        <v>-0.75</v>
      </c>
      <c r="K69" s="43">
        <v>-1.34</v>
      </c>
      <c r="L69" s="43">
        <v>0</v>
      </c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</row>
    <row r="70" spans="2:53" x14ac:dyDescent="0.2">
      <c r="B70" s="25" t="str">
        <f t="shared" si="1"/>
        <v>[ROW:MAR_2021]</v>
      </c>
      <c r="C70" s="48">
        <f>IF(OR(Bench_Setup!$E$6="",Bench_Setup!$E$7=""),"",IF(EOMONTH(Bench_Setup!$E$6,62)&lt;=Bench_Setup!$E$7,EOMONTH(Bench_Setup!$E$6,62),""))</f>
        <v>44286</v>
      </c>
      <c r="D70" s="45">
        <v>1.35</v>
      </c>
      <c r="E70" s="43">
        <v>-2.09</v>
      </c>
      <c r="F70" s="43">
        <v>2.81</v>
      </c>
      <c r="G70" s="43">
        <v>4.0999999999999996</v>
      </c>
      <c r="H70" s="43">
        <v>0.87</v>
      </c>
      <c r="I70" s="43">
        <v>3.22</v>
      </c>
      <c r="J70" s="43">
        <v>0.39</v>
      </c>
      <c r="K70" s="43">
        <v>-0.15</v>
      </c>
      <c r="L70" s="43">
        <v>0.11</v>
      </c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</row>
    <row r="71" spans="2:53" x14ac:dyDescent="0.2">
      <c r="B71" s="25" t="str">
        <f t="shared" si="1"/>
        <v>[ROW:APR_2021]</v>
      </c>
      <c r="C71" s="48">
        <f>IF(OR(Bench_Setup!$E$6="",Bench_Setup!$E$7=""),"",IF(EOMONTH(Bench_Setup!$E$6,63)&lt;=Bench_Setup!$E$7,EOMONTH(Bench_Setup!$E$6,63),""))</f>
        <v>44316</v>
      </c>
      <c r="D71" s="45">
        <v>-0.97</v>
      </c>
      <c r="E71" s="43">
        <v>1.73</v>
      </c>
      <c r="F71" s="43">
        <v>3.75</v>
      </c>
      <c r="G71" s="43">
        <v>-3.4</v>
      </c>
      <c r="H71" s="43">
        <v>0.12</v>
      </c>
      <c r="I71" s="43">
        <v>0.7</v>
      </c>
      <c r="J71" s="43">
        <v>1.75</v>
      </c>
      <c r="K71" s="43">
        <v>-1.22</v>
      </c>
      <c r="L71" s="43">
        <v>0.09</v>
      </c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</row>
    <row r="72" spans="2:53" x14ac:dyDescent="0.2">
      <c r="B72" s="25" t="str">
        <f t="shared" ref="B72:B103" si="2">IF(C72="","","[ROW:"&amp;UPPER(TEXT(C72,"MMM"))&amp;"_"&amp;TEXT(C72,"YYYY")&amp;"]")</f>
        <v>[ROW:MAY_2021]</v>
      </c>
      <c r="C72" s="48">
        <f>IF(OR(Bench_Setup!$E$6="",Bench_Setup!$E$7=""),"",IF(EOMONTH(Bench_Setup!$E$6,64)&lt;=Bench_Setup!$E$7,EOMONTH(Bench_Setup!$E$6,64),""))</f>
        <v>44347</v>
      </c>
      <c r="D72" s="45">
        <v>-4.33</v>
      </c>
      <c r="E72" s="43">
        <v>1.5</v>
      </c>
      <c r="F72" s="43">
        <v>-5.08</v>
      </c>
      <c r="G72" s="43">
        <v>3.57</v>
      </c>
      <c r="H72" s="43">
        <v>1.1000000000000001</v>
      </c>
      <c r="I72" s="43">
        <v>1.2</v>
      </c>
      <c r="J72" s="43">
        <v>-1.02</v>
      </c>
      <c r="K72" s="43">
        <v>-0.09</v>
      </c>
      <c r="L72" s="43">
        <v>-0.03</v>
      </c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</row>
    <row r="73" spans="2:53" x14ac:dyDescent="0.2">
      <c r="B73" s="25" t="str">
        <f t="shared" si="2"/>
        <v>[ROW:JUN_2021]</v>
      </c>
      <c r="C73" s="48">
        <f>IF(OR(Bench_Setup!$E$6="",Bench_Setup!$E$7=""),"",IF(EOMONTH(Bench_Setup!$E$6,65)&lt;=Bench_Setup!$E$7,EOMONTH(Bench_Setup!$E$6,65),""))</f>
        <v>44377</v>
      </c>
      <c r="D73" s="45">
        <v>5.67</v>
      </c>
      <c r="E73" s="43">
        <v>-10.17</v>
      </c>
      <c r="F73" s="43">
        <v>4.68</v>
      </c>
      <c r="G73" s="43">
        <v>0.61</v>
      </c>
      <c r="H73" s="43">
        <v>-0.66</v>
      </c>
      <c r="I73" s="43">
        <v>1.52</v>
      </c>
      <c r="J73" s="43">
        <v>-0.37</v>
      </c>
      <c r="K73" s="43">
        <v>1.71</v>
      </c>
      <c r="L73" s="43">
        <v>-7.0000000000000007E-2</v>
      </c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</row>
    <row r="74" spans="2:53" x14ac:dyDescent="0.2">
      <c r="B74" s="25" t="str">
        <f t="shared" si="2"/>
        <v>[ROW:JUL_2021]</v>
      </c>
      <c r="C74" s="48">
        <f>IF(OR(Bench_Setup!$E$6="",Bench_Setup!$E$7=""),"",IF(EOMONTH(Bench_Setup!$E$6,66)&lt;=Bench_Setup!$E$7,EOMONTH(Bench_Setup!$E$6,66),""))</f>
        <v>44408</v>
      </c>
      <c r="D74" s="45">
        <v>7.89</v>
      </c>
      <c r="E74" s="43">
        <v>-2.36</v>
      </c>
      <c r="F74" s="43">
        <v>-0.43</v>
      </c>
      <c r="G74" s="43">
        <v>-4.8099999999999996</v>
      </c>
      <c r="H74" s="43">
        <v>0.86</v>
      </c>
      <c r="I74" s="43">
        <v>-1.36</v>
      </c>
      <c r="J74" s="43">
        <v>-0.42</v>
      </c>
      <c r="K74" s="43">
        <v>1.53</v>
      </c>
      <c r="L74" s="43">
        <v>-0.06</v>
      </c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</row>
    <row r="75" spans="2:53" x14ac:dyDescent="0.2">
      <c r="B75" s="25" t="str">
        <f t="shared" si="2"/>
        <v>[ROW:AUG_2021]</v>
      </c>
      <c r="C75" s="48">
        <f>IF(OR(Bench_Setup!$E$6="",Bench_Setup!$E$7=""),"",IF(EOMONTH(Bench_Setup!$E$6,67)&lt;=Bench_Setup!$E$7,EOMONTH(Bench_Setup!$E$6,67),""))</f>
        <v>44439</v>
      </c>
      <c r="D75" s="45">
        <v>1.89</v>
      </c>
      <c r="E75" s="43">
        <v>0.67</v>
      </c>
      <c r="F75" s="43">
        <v>-4.93</v>
      </c>
      <c r="G75" s="43">
        <v>-0.73</v>
      </c>
      <c r="H75" s="43">
        <v>0.45</v>
      </c>
      <c r="I75" s="43">
        <v>-2.84</v>
      </c>
      <c r="J75" s="43">
        <v>0.32</v>
      </c>
      <c r="K75" s="43">
        <v>-0.43</v>
      </c>
      <c r="L75" s="43">
        <v>0.15</v>
      </c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</row>
    <row r="76" spans="2:53" x14ac:dyDescent="0.2">
      <c r="B76" s="25" t="str">
        <f t="shared" si="2"/>
        <v>[ROW:SEP_2021]</v>
      </c>
      <c r="C76" s="48">
        <f>IF(OR(Bench_Setup!$E$6="",Bench_Setup!$E$7=""),"",IF(EOMONTH(Bench_Setup!$E$6,68)&lt;=Bench_Setup!$E$7,EOMONTH(Bench_Setup!$E$6,68),""))</f>
        <v>44469</v>
      </c>
      <c r="D76" s="45">
        <v>0.56000000000000005</v>
      </c>
      <c r="E76" s="43">
        <v>-1.83</v>
      </c>
      <c r="F76" s="43">
        <v>-2.66</v>
      </c>
      <c r="G76" s="43">
        <v>6.51</v>
      </c>
      <c r="H76" s="43">
        <v>2.44</v>
      </c>
      <c r="I76" s="43">
        <v>0.34</v>
      </c>
      <c r="J76" s="43">
        <v>-1.32</v>
      </c>
      <c r="K76" s="43">
        <v>1.1599999999999999</v>
      </c>
      <c r="L76" s="43">
        <v>0.05</v>
      </c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</row>
    <row r="77" spans="2:53" x14ac:dyDescent="0.2">
      <c r="B77" s="25" t="str">
        <f t="shared" si="2"/>
        <v>[ROW:OCT_2021]</v>
      </c>
      <c r="C77" s="48">
        <f>IF(OR(Bench_Setup!$E$6="",Bench_Setup!$E$7=""),"",IF(EOMONTH(Bench_Setup!$E$6,69)&lt;=Bench_Setup!$E$7,EOMONTH(Bench_Setup!$E$6,69),""))</f>
        <v>44500</v>
      </c>
      <c r="D77" s="45">
        <v>7.27</v>
      </c>
      <c r="E77" s="43">
        <v>3.73</v>
      </c>
      <c r="F77" s="43">
        <v>4.91</v>
      </c>
      <c r="G77" s="43">
        <v>-1.68</v>
      </c>
      <c r="H77" s="43">
        <v>0.22</v>
      </c>
      <c r="I77" s="43">
        <v>1.26</v>
      </c>
      <c r="J77" s="43">
        <v>-1.33</v>
      </c>
      <c r="K77" s="43">
        <v>0</v>
      </c>
      <c r="L77" s="43">
        <v>-0.05</v>
      </c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</row>
    <row r="78" spans="2:53" x14ac:dyDescent="0.2">
      <c r="B78" s="25" t="str">
        <f t="shared" si="2"/>
        <v>[ROW:NOV_2021]</v>
      </c>
      <c r="C78" s="48">
        <f>IF(OR(Bench_Setup!$E$6="",Bench_Setup!$E$7=""),"",IF(EOMONTH(Bench_Setup!$E$6,70)&lt;=Bench_Setup!$E$7,EOMONTH(Bench_Setup!$E$6,70),""))</f>
        <v>44530</v>
      </c>
      <c r="D78" s="45">
        <v>4.0199999999999996</v>
      </c>
      <c r="E78" s="43">
        <v>0.41</v>
      </c>
      <c r="F78" s="43">
        <v>2.93</v>
      </c>
      <c r="G78" s="43">
        <v>0.6</v>
      </c>
      <c r="H78" s="43">
        <v>2.62</v>
      </c>
      <c r="I78" s="43">
        <v>0.15</v>
      </c>
      <c r="J78" s="43">
        <v>-1.46</v>
      </c>
      <c r="K78" s="43">
        <v>1.25</v>
      </c>
      <c r="L78" s="43">
        <v>0.06</v>
      </c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</row>
    <row r="79" spans="2:53" x14ac:dyDescent="0.2">
      <c r="B79" s="25" t="str">
        <f t="shared" si="2"/>
        <v>[ROW:DEC_2021]</v>
      </c>
      <c r="C79" s="48">
        <f>IF(OR(Bench_Setup!$E$6="",Bench_Setup!$E$7=""),"",IF(EOMONTH(Bench_Setup!$E$6,71)&lt;=Bench_Setup!$E$7,EOMONTH(Bench_Setup!$E$6,71),""))</f>
        <v>44561</v>
      </c>
      <c r="D79" s="45">
        <v>1.41</v>
      </c>
      <c r="E79" s="43">
        <v>23.74</v>
      </c>
      <c r="F79" s="43">
        <v>-5.51</v>
      </c>
      <c r="G79" s="43">
        <v>10.34</v>
      </c>
      <c r="H79" s="43">
        <v>-3.42</v>
      </c>
      <c r="I79" s="43">
        <v>2.54</v>
      </c>
      <c r="J79" s="43">
        <v>3.7</v>
      </c>
      <c r="K79" s="43">
        <v>-3.3</v>
      </c>
      <c r="L79" s="43">
        <v>-0.26</v>
      </c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</row>
    <row r="80" spans="2:53" x14ac:dyDescent="0.2">
      <c r="B80" s="25" t="str">
        <f t="shared" si="2"/>
        <v>[ROW:JAN_2022]</v>
      </c>
      <c r="C80" s="48">
        <f>IF(OR(Bench_Setup!$E$6="",Bench_Setup!$E$7=""),"",IF(EOMONTH(Bench_Setup!$E$6,72)&lt;=Bench_Setup!$E$7,EOMONTH(Bench_Setup!$E$6,72),""))</f>
        <v>44592</v>
      </c>
      <c r="D80" s="45">
        <v>-8.34</v>
      </c>
      <c r="E80" s="43">
        <v>-5.6</v>
      </c>
      <c r="F80" s="43">
        <v>2.58</v>
      </c>
      <c r="G80" s="43">
        <v>0.08</v>
      </c>
      <c r="H80" s="43">
        <v>0.41</v>
      </c>
      <c r="I80" s="43">
        <v>-2.44</v>
      </c>
      <c r="J80" s="43">
        <v>-2.5</v>
      </c>
      <c r="K80" s="43">
        <v>-1.98</v>
      </c>
      <c r="L80" s="43">
        <v>0.16</v>
      </c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</row>
    <row r="81" spans="2:53" x14ac:dyDescent="0.2">
      <c r="B81" s="25" t="str">
        <f t="shared" si="2"/>
        <v>[ROW:FEB_2022]</v>
      </c>
      <c r="C81" s="48">
        <f>IF(OR(Bench_Setup!$E$6="",Bench_Setup!$E$7=""),"",IF(EOMONTH(Bench_Setup!$E$6,73)&lt;=Bench_Setup!$E$7,EOMONTH(Bench_Setup!$E$6,73),""))</f>
        <v>44620</v>
      </c>
      <c r="D81" s="45">
        <v>-5.3</v>
      </c>
      <c r="E81" s="43">
        <v>-0.69</v>
      </c>
      <c r="F81" s="43">
        <v>-2.0499999999999998</v>
      </c>
      <c r="G81" s="43">
        <v>-7.34</v>
      </c>
      <c r="H81" s="43">
        <v>0.78</v>
      </c>
      <c r="I81" s="43">
        <v>-5.17</v>
      </c>
      <c r="J81" s="43">
        <v>-0.56999999999999995</v>
      </c>
      <c r="K81" s="43">
        <v>-1.51</v>
      </c>
      <c r="L81" s="43">
        <v>0.11</v>
      </c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</row>
    <row r="82" spans="2:53" x14ac:dyDescent="0.2">
      <c r="B82" s="25" t="str">
        <f t="shared" si="2"/>
        <v>[ROW:MAR_2022]</v>
      </c>
      <c r="C82" s="48">
        <f>IF(OR(Bench_Setup!$E$6="",Bench_Setup!$E$7=""),"",IF(EOMONTH(Bench_Setup!$E$6,74)&lt;=Bench_Setup!$E$7,EOMONTH(Bench_Setup!$E$6,74),""))</f>
        <v>44651</v>
      </c>
      <c r="D82" s="45">
        <v>-1.54</v>
      </c>
      <c r="E82" s="43">
        <v>1.74</v>
      </c>
      <c r="F82" s="43">
        <v>-1.46</v>
      </c>
      <c r="G82" s="43">
        <v>-2.96</v>
      </c>
      <c r="H82" s="43">
        <v>2.62</v>
      </c>
      <c r="I82" s="43">
        <v>-0.91</v>
      </c>
      <c r="J82" s="43">
        <v>-1.86</v>
      </c>
      <c r="K82" s="43">
        <v>-2.2000000000000002</v>
      </c>
      <c r="L82" s="43">
        <v>0.18</v>
      </c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</row>
    <row r="83" spans="2:53" x14ac:dyDescent="0.2">
      <c r="B83" s="25" t="str">
        <f t="shared" si="2"/>
        <v>[ROW:APR_2022]</v>
      </c>
      <c r="C83" s="48">
        <f>IF(OR(Bench_Setup!$E$6="",Bench_Setup!$E$7=""),"",IF(EOMONTH(Bench_Setup!$E$6,75)&lt;=Bench_Setup!$E$7,EOMONTH(Bench_Setup!$E$6,75),""))</f>
        <v>44681</v>
      </c>
      <c r="D83" s="45">
        <v>-9.27</v>
      </c>
      <c r="E83" s="43">
        <v>-5.77</v>
      </c>
      <c r="F83" s="43">
        <v>-5.08</v>
      </c>
      <c r="G83" s="43">
        <v>-0.38</v>
      </c>
      <c r="H83" s="43">
        <v>0.44</v>
      </c>
      <c r="I83" s="43">
        <v>-2.9</v>
      </c>
      <c r="J83" s="43">
        <v>-1.03</v>
      </c>
      <c r="K83" s="43">
        <v>-2.29</v>
      </c>
      <c r="L83" s="43">
        <v>-0.1</v>
      </c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</row>
    <row r="84" spans="2:53" x14ac:dyDescent="0.2">
      <c r="B84" s="25" t="str">
        <f t="shared" si="2"/>
        <v>[ROW:MAY_2022]</v>
      </c>
      <c r="C84" s="48">
        <f>IF(OR(Bench_Setup!$E$6="",Bench_Setup!$E$7=""),"",IF(EOMONTH(Bench_Setup!$E$6,76)&lt;=Bench_Setup!$E$7,EOMONTH(Bench_Setup!$E$6,76),""))</f>
        <v>44712</v>
      </c>
      <c r="D84" s="45">
        <v>-1.8</v>
      </c>
      <c r="E84" s="43">
        <v>-2.06</v>
      </c>
      <c r="F84" s="43">
        <v>0.85</v>
      </c>
      <c r="G84" s="43">
        <v>-2.09</v>
      </c>
      <c r="H84" s="43">
        <v>-0.87</v>
      </c>
      <c r="I84" s="43">
        <v>0.54</v>
      </c>
      <c r="J84" s="43">
        <v>-0.98</v>
      </c>
      <c r="K84" s="43">
        <v>-2.41</v>
      </c>
      <c r="L84" s="43">
        <v>0.11</v>
      </c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</row>
    <row r="85" spans="2:53" x14ac:dyDescent="0.2">
      <c r="B85" s="25" t="str">
        <f t="shared" si="2"/>
        <v>[ROW:JUN_2022]</v>
      </c>
      <c r="C85" s="48">
        <f>IF(OR(Bench_Setup!$E$6="",Bench_Setup!$E$7=""),"",IF(EOMONTH(Bench_Setup!$E$6,77)&lt;=Bench_Setup!$E$7,EOMONTH(Bench_Setup!$E$6,77),""))</f>
        <v>44742</v>
      </c>
      <c r="D85" s="45">
        <v>-3.83</v>
      </c>
      <c r="E85" s="43">
        <v>-3.45</v>
      </c>
      <c r="F85" s="43">
        <v>-3.97</v>
      </c>
      <c r="G85" s="43">
        <v>-7.8</v>
      </c>
      <c r="H85" s="43">
        <v>-0.38</v>
      </c>
      <c r="I85" s="43">
        <v>-3.08</v>
      </c>
      <c r="J85" s="43">
        <v>-1.79</v>
      </c>
      <c r="K85" s="43">
        <v>-1.69</v>
      </c>
      <c r="L85" s="43">
        <v>0.03</v>
      </c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</row>
    <row r="86" spans="2:53" x14ac:dyDescent="0.2">
      <c r="B86" s="25" t="str">
        <f t="shared" si="2"/>
        <v>[ROW:JUL_2022]</v>
      </c>
      <c r="C86" s="48">
        <f>IF(OR(Bench_Setup!$E$6="",Bench_Setup!$E$7=""),"",IF(EOMONTH(Bench_Setup!$E$6,78)&lt;=Bench_Setup!$E$7,EOMONTH(Bench_Setup!$E$6,78),""))</f>
        <v>44773</v>
      </c>
      <c r="D86" s="45">
        <v>0.38</v>
      </c>
      <c r="E86" s="43">
        <v>8.5399999999999991</v>
      </c>
      <c r="F86" s="43">
        <v>-0.35</v>
      </c>
      <c r="G86" s="43">
        <v>4.5</v>
      </c>
      <c r="H86" s="43">
        <v>-0.13</v>
      </c>
      <c r="I86" s="43">
        <v>-0.14000000000000001</v>
      </c>
      <c r="J86" s="43">
        <v>-2.58</v>
      </c>
      <c r="K86" s="43">
        <v>-0.9</v>
      </c>
      <c r="L86" s="43">
        <v>0.16</v>
      </c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</row>
    <row r="87" spans="2:53" x14ac:dyDescent="0.2">
      <c r="B87" s="25" t="str">
        <f t="shared" si="2"/>
        <v>[ROW:AUG_2022]</v>
      </c>
      <c r="C87" s="48">
        <f>IF(OR(Bench_Setup!$E$6="",Bench_Setup!$E$7=""),"",IF(EOMONTH(Bench_Setup!$E$6,79)&lt;=Bench_Setup!$E$7,EOMONTH(Bench_Setup!$E$6,79),""))</f>
        <v>44804</v>
      </c>
      <c r="D87" s="45">
        <v>0.13</v>
      </c>
      <c r="E87" s="43">
        <v>-0.34</v>
      </c>
      <c r="F87" s="43">
        <v>-0.41</v>
      </c>
      <c r="G87" s="43">
        <v>-0.5</v>
      </c>
      <c r="H87" s="43">
        <v>1.27</v>
      </c>
      <c r="I87" s="43">
        <v>-0.24</v>
      </c>
      <c r="J87" s="43">
        <v>-7.0000000000000007E-2</v>
      </c>
      <c r="K87" s="43">
        <v>-1.02</v>
      </c>
      <c r="L87" s="43">
        <v>0.18</v>
      </c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</row>
    <row r="88" spans="2:53" x14ac:dyDescent="0.2">
      <c r="B88" s="25" t="str">
        <f t="shared" si="2"/>
        <v>[ROW:SEP_2022]</v>
      </c>
      <c r="C88" s="48">
        <f>IF(OR(Bench_Setup!$E$6="",Bench_Setup!$E$7=""),"",IF(EOMONTH(Bench_Setup!$E$6,80)&lt;=Bench_Setup!$E$7,EOMONTH(Bench_Setup!$E$6,80),""))</f>
        <v>44834</v>
      </c>
      <c r="D88" s="45">
        <v>-10.34</v>
      </c>
      <c r="E88" s="43">
        <v>1.29</v>
      </c>
      <c r="F88" s="43">
        <v>-4.74</v>
      </c>
      <c r="G88" s="43">
        <v>1.77</v>
      </c>
      <c r="H88" s="43">
        <v>-2.21</v>
      </c>
      <c r="I88" s="43">
        <v>-2.19</v>
      </c>
      <c r="J88" s="43">
        <v>-1.79</v>
      </c>
      <c r="K88" s="43">
        <v>-0.3</v>
      </c>
      <c r="L88" s="43">
        <v>0.12</v>
      </c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</row>
    <row r="89" spans="2:53" x14ac:dyDescent="0.2">
      <c r="B89" s="25" t="str">
        <f t="shared" si="2"/>
        <v>[ROW:OCT_2022]</v>
      </c>
      <c r="C89" s="48">
        <f>IF(OR(Bench_Setup!$E$6="",Bench_Setup!$E$7=""),"",IF(EOMONTH(Bench_Setup!$E$6,81)&lt;=Bench_Setup!$E$7,EOMONTH(Bench_Setup!$E$6,81),""))</f>
        <v>44865</v>
      </c>
      <c r="D89" s="45">
        <v>-2.46</v>
      </c>
      <c r="E89" s="43">
        <v>-2.38</v>
      </c>
      <c r="F89" s="43">
        <v>-6.06</v>
      </c>
      <c r="G89" s="43">
        <v>-0.18</v>
      </c>
      <c r="H89" s="43">
        <v>2.48</v>
      </c>
      <c r="I89" s="43">
        <v>-2.2999999999999998</v>
      </c>
      <c r="J89" s="43">
        <v>-1.28</v>
      </c>
      <c r="K89" s="43">
        <v>0.84</v>
      </c>
      <c r="L89" s="43">
        <v>0.24</v>
      </c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</row>
    <row r="90" spans="2:53" x14ac:dyDescent="0.2">
      <c r="B90" s="25" t="str">
        <f t="shared" si="2"/>
        <v>[ROW:NOV_2022]</v>
      </c>
      <c r="C90" s="48">
        <f>IF(OR(Bench_Setup!$E$6="",Bench_Setup!$E$7=""),"",IF(EOMONTH(Bench_Setup!$E$6,82)&lt;=Bench_Setup!$E$7,EOMONTH(Bench_Setup!$E$6,82),""))</f>
        <v>44895</v>
      </c>
      <c r="D90" s="45">
        <v>-0.54</v>
      </c>
      <c r="E90" s="43">
        <v>0.95</v>
      </c>
      <c r="F90" s="43">
        <v>-5.0199999999999996</v>
      </c>
      <c r="G90" s="43">
        <v>-0.57999999999999996</v>
      </c>
      <c r="H90" s="43">
        <v>1.84</v>
      </c>
      <c r="I90" s="43">
        <v>-0.76</v>
      </c>
      <c r="J90" s="43">
        <v>-0.48</v>
      </c>
      <c r="K90" s="43">
        <v>0.44</v>
      </c>
      <c r="L90" s="43">
        <v>0.21</v>
      </c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</row>
    <row r="91" spans="2:53" x14ac:dyDescent="0.2">
      <c r="B91" s="25" t="str">
        <f t="shared" si="2"/>
        <v>[ROW:DEC_2022]</v>
      </c>
      <c r="C91" s="48">
        <f>IF(OR(Bench_Setup!$E$6="",Bench_Setup!$E$7=""),"",IF(EOMONTH(Bench_Setup!$E$6,83)&lt;=Bench_Setup!$E$7,EOMONTH(Bench_Setup!$E$6,83),""))</f>
        <v>44926</v>
      </c>
      <c r="D91" s="45">
        <v>29.14</v>
      </c>
      <c r="E91" s="43">
        <v>-6.17</v>
      </c>
      <c r="F91" s="43">
        <v>2.85</v>
      </c>
      <c r="G91" s="43">
        <v>-3.95</v>
      </c>
      <c r="H91" s="43">
        <v>2.46</v>
      </c>
      <c r="I91" s="43">
        <v>15.38</v>
      </c>
      <c r="J91" s="43">
        <v>1.06</v>
      </c>
      <c r="K91" s="43">
        <v>0.31</v>
      </c>
      <c r="L91" s="43">
        <v>0.04</v>
      </c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</row>
    <row r="92" spans="2:53" x14ac:dyDescent="0.2">
      <c r="B92" s="25" t="str">
        <f t="shared" si="2"/>
        <v>[ROW:JAN_2023]</v>
      </c>
      <c r="C92" s="48">
        <f>IF(OR(Bench_Setup!$E$6="",Bench_Setup!$E$7=""),"",IF(EOMONTH(Bench_Setup!$E$6,84)&lt;=Bench_Setup!$E$7,EOMONTH(Bench_Setup!$E$6,84),""))</f>
        <v>44957</v>
      </c>
      <c r="D92" s="45">
        <v>0.67</v>
      </c>
      <c r="E92" s="43">
        <v>1.96</v>
      </c>
      <c r="F92" s="43">
        <v>2.38</v>
      </c>
      <c r="G92" s="43">
        <v>4.88</v>
      </c>
      <c r="H92" s="43">
        <v>-0.13</v>
      </c>
      <c r="I92" s="43">
        <v>4.13</v>
      </c>
      <c r="J92" s="43">
        <v>-0.15</v>
      </c>
      <c r="K92" s="43">
        <v>1.7</v>
      </c>
      <c r="L92" s="43">
        <v>0.24</v>
      </c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</row>
    <row r="93" spans="2:53" x14ac:dyDescent="0.2">
      <c r="B93" s="25" t="str">
        <f t="shared" si="2"/>
        <v>[ROW:FEB_2023]</v>
      </c>
      <c r="C93" s="48">
        <f>IF(OR(Bench_Setup!$E$6="",Bench_Setup!$E$7=""),"",IF(EOMONTH(Bench_Setup!$E$6,85)&lt;=Bench_Setup!$E$7,EOMONTH(Bench_Setup!$E$6,85),""))</f>
        <v>44985</v>
      </c>
      <c r="D93" s="45">
        <v>0.96</v>
      </c>
      <c r="E93" s="43">
        <v>2.77</v>
      </c>
      <c r="F93" s="43">
        <v>-5.9</v>
      </c>
      <c r="G93" s="43">
        <v>2</v>
      </c>
      <c r="H93" s="43">
        <v>0.31</v>
      </c>
      <c r="I93" s="43">
        <v>-0.5</v>
      </c>
      <c r="J93" s="43">
        <v>0.22</v>
      </c>
      <c r="K93" s="43">
        <v>2.57</v>
      </c>
      <c r="L93" s="43">
        <v>0.52</v>
      </c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</row>
    <row r="94" spans="2:53" x14ac:dyDescent="0.2">
      <c r="B94" s="25" t="str">
        <f t="shared" si="2"/>
        <v>[ROW:MAR_2023]</v>
      </c>
      <c r="C94" s="48">
        <f>IF(OR(Bench_Setup!$E$6="",Bench_Setup!$E$7=""),"",IF(EOMONTH(Bench_Setup!$E$6,86)&lt;=Bench_Setup!$E$7,EOMONTH(Bench_Setup!$E$6,86),""))</f>
        <v>45016</v>
      </c>
      <c r="D94" s="45">
        <v>-2.97</v>
      </c>
      <c r="E94" s="43">
        <v>-2.72</v>
      </c>
      <c r="F94" s="43">
        <v>-0.02</v>
      </c>
      <c r="G94" s="43">
        <v>7.95</v>
      </c>
      <c r="H94" s="43">
        <v>-1.74</v>
      </c>
      <c r="I94" s="43">
        <v>-0.37</v>
      </c>
      <c r="J94" s="43">
        <v>1.63</v>
      </c>
      <c r="K94" s="43">
        <v>-2.69</v>
      </c>
      <c r="L94" s="43">
        <v>0.36</v>
      </c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</row>
    <row r="95" spans="2:53" x14ac:dyDescent="0.2">
      <c r="B95" s="25" t="str">
        <f t="shared" si="2"/>
        <v>[ROW:APR_2023]</v>
      </c>
      <c r="C95" s="48">
        <f>IF(OR(Bench_Setup!$E$6="",Bench_Setup!$E$7=""),"",IF(EOMONTH(Bench_Setup!$E$6,87)&lt;=Bench_Setup!$E$7,EOMONTH(Bench_Setup!$E$6,87),""))</f>
        <v>45046</v>
      </c>
      <c r="D95" s="45">
        <v>-0.16</v>
      </c>
      <c r="E95" s="43">
        <v>4.59</v>
      </c>
      <c r="F95" s="43">
        <v>-0.81</v>
      </c>
      <c r="G95" s="43">
        <v>2.48</v>
      </c>
      <c r="H95" s="43">
        <v>-2.62</v>
      </c>
      <c r="I95" s="43">
        <v>-0.18</v>
      </c>
      <c r="J95" s="43">
        <v>-0.14000000000000001</v>
      </c>
      <c r="K95" s="43">
        <v>-1.34</v>
      </c>
      <c r="L95" s="43">
        <v>0.45</v>
      </c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</row>
    <row r="96" spans="2:53" x14ac:dyDescent="0.2">
      <c r="B96" s="25" t="str">
        <f t="shared" si="2"/>
        <v>[ROW:MAY_2023]</v>
      </c>
      <c r="C96" s="48">
        <f>IF(OR(Bench_Setup!$E$6="",Bench_Setup!$E$7=""),"",IF(EOMONTH(Bench_Setup!$E$6,88)&lt;=Bench_Setup!$E$7,EOMONTH(Bench_Setup!$E$6,88),""))</f>
        <v>45077</v>
      </c>
      <c r="D96" s="45">
        <v>-1.48</v>
      </c>
      <c r="E96" s="43">
        <v>2.08</v>
      </c>
      <c r="F96" s="43">
        <v>6.77</v>
      </c>
      <c r="G96" s="43">
        <v>-0.47</v>
      </c>
      <c r="H96" s="43">
        <v>-0.49</v>
      </c>
      <c r="I96" s="43">
        <v>2.86</v>
      </c>
      <c r="J96" s="43">
        <v>-2.09</v>
      </c>
      <c r="K96" s="43">
        <v>-0.33</v>
      </c>
      <c r="L96" s="43">
        <v>0.37</v>
      </c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</row>
    <row r="97" spans="2:53" x14ac:dyDescent="0.2">
      <c r="B97" s="25" t="str">
        <f t="shared" si="2"/>
        <v>[ROW:JUN_2023]</v>
      </c>
      <c r="C97" s="48">
        <f>IF(OR(Bench_Setup!$E$6="",Bench_Setup!$E$7=""),"",IF(EOMONTH(Bench_Setup!$E$6,89)&lt;=Bench_Setup!$E$7,EOMONTH(Bench_Setup!$E$6,89),""))</f>
        <v>45107</v>
      </c>
      <c r="D97" s="45">
        <v>-3.5</v>
      </c>
      <c r="E97" s="43">
        <v>-3.18</v>
      </c>
      <c r="F97" s="43">
        <v>2.83</v>
      </c>
      <c r="G97" s="43">
        <v>3.38</v>
      </c>
      <c r="H97" s="43">
        <v>0.16</v>
      </c>
      <c r="I97" s="43">
        <v>0.16</v>
      </c>
      <c r="J97" s="43">
        <v>-1.1399999999999999</v>
      </c>
      <c r="K97" s="43">
        <v>-1.71</v>
      </c>
      <c r="L97" s="43">
        <v>0.52</v>
      </c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</row>
    <row r="98" spans="2:53" x14ac:dyDescent="0.2">
      <c r="B98" s="25" t="str">
        <f t="shared" si="2"/>
        <v>[ROW:JUL_2023]</v>
      </c>
      <c r="C98" s="48">
        <f>IF(OR(Bench_Setup!$E$6="",Bench_Setup!$E$7=""),"",IF(EOMONTH(Bench_Setup!$E$6,90)&lt;=Bench_Setup!$E$7,EOMONTH(Bench_Setup!$E$6,90),""))</f>
        <v>45138</v>
      </c>
      <c r="D98" s="45">
        <v>0.52</v>
      </c>
      <c r="E98" s="43">
        <v>2.71</v>
      </c>
      <c r="F98" s="43">
        <v>3.75</v>
      </c>
      <c r="G98" s="43">
        <v>-3.3</v>
      </c>
      <c r="H98" s="43">
        <v>-1.24</v>
      </c>
      <c r="I98" s="43">
        <v>2.14</v>
      </c>
      <c r="J98" s="43">
        <v>2.29</v>
      </c>
      <c r="K98" s="43">
        <v>1.03</v>
      </c>
      <c r="L98" s="43">
        <v>0.38</v>
      </c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</row>
    <row r="99" spans="2:53" x14ac:dyDescent="0.2">
      <c r="B99" s="25" t="str">
        <f t="shared" si="2"/>
        <v>[ROW:AUG_2023]</v>
      </c>
      <c r="C99" s="48">
        <f>IF(OR(Bench_Setup!$E$6="",Bench_Setup!$E$7=""),"",IF(EOMONTH(Bench_Setup!$E$6,91)&lt;=Bench_Setup!$E$7,EOMONTH(Bench_Setup!$E$6,91),""))</f>
        <v>45169</v>
      </c>
      <c r="D99" s="45">
        <v>5.77</v>
      </c>
      <c r="E99" s="43">
        <v>-0.63</v>
      </c>
      <c r="F99" s="43">
        <v>-1.42</v>
      </c>
      <c r="G99" s="43">
        <v>-3.18</v>
      </c>
      <c r="H99" s="43">
        <v>-2.93</v>
      </c>
      <c r="I99" s="43">
        <v>-0.9</v>
      </c>
      <c r="J99" s="43">
        <v>-1.1299999999999999</v>
      </c>
      <c r="K99" s="43">
        <v>-1.93</v>
      </c>
      <c r="L99" s="43">
        <v>0.4</v>
      </c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</row>
    <row r="100" spans="2:53" x14ac:dyDescent="0.2">
      <c r="B100" s="25" t="str">
        <f t="shared" si="2"/>
        <v>[ROW:SEP_2023]</v>
      </c>
      <c r="C100" s="48">
        <f>IF(OR(Bench_Setup!$E$6="",Bench_Setup!$E$7=""),"",IF(EOMONTH(Bench_Setup!$E$6,92)&lt;=Bench_Setup!$E$7,EOMONTH(Bench_Setup!$E$6,92),""))</f>
        <v>45199</v>
      </c>
      <c r="D100" s="45">
        <v>7.94</v>
      </c>
      <c r="E100" s="43">
        <v>1.25</v>
      </c>
      <c r="F100" s="43">
        <v>4.99</v>
      </c>
      <c r="G100" s="43">
        <v>-0.87</v>
      </c>
      <c r="H100" s="43">
        <v>3.33</v>
      </c>
      <c r="I100" s="43">
        <v>-0.14000000000000001</v>
      </c>
      <c r="J100" s="43">
        <v>-0.1</v>
      </c>
      <c r="K100" s="43">
        <v>1.1000000000000001</v>
      </c>
      <c r="L100" s="43">
        <v>0.47</v>
      </c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</row>
    <row r="101" spans="2:53" x14ac:dyDescent="0.2">
      <c r="B101" s="25" t="str">
        <f t="shared" si="2"/>
        <v>[ROW:OCT_2023]</v>
      </c>
      <c r="C101" s="48">
        <f>IF(OR(Bench_Setup!$E$6="",Bench_Setup!$E$7=""),"",IF(EOMONTH(Bench_Setup!$E$6,93)&lt;=Bench_Setup!$E$7,EOMONTH(Bench_Setup!$E$6,93),""))</f>
        <v>45230</v>
      </c>
      <c r="D101" s="45">
        <v>2.99</v>
      </c>
      <c r="E101" s="43">
        <v>2.06</v>
      </c>
      <c r="F101" s="43">
        <v>-1.42</v>
      </c>
      <c r="G101" s="43">
        <v>3.88</v>
      </c>
      <c r="H101" s="43">
        <v>-0.46</v>
      </c>
      <c r="I101" s="43">
        <v>2.39</v>
      </c>
      <c r="J101" s="43">
        <v>-1.86</v>
      </c>
      <c r="K101" s="43">
        <v>-0.53</v>
      </c>
      <c r="L101" s="43">
        <v>0.41</v>
      </c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</row>
    <row r="102" spans="2:53" x14ac:dyDescent="0.2">
      <c r="B102" s="25" t="str">
        <f t="shared" si="2"/>
        <v>[ROW:NOV_2023]</v>
      </c>
      <c r="C102" s="48">
        <f>IF(OR(Bench_Setup!$E$6="",Bench_Setup!$E$7=""),"",IF(EOMONTH(Bench_Setup!$E$6,94)&lt;=Bench_Setup!$E$7,EOMONTH(Bench_Setup!$E$6,94),""))</f>
        <v>45260</v>
      </c>
      <c r="D102" s="45">
        <v>1.32</v>
      </c>
      <c r="E102" s="43">
        <v>-0.23</v>
      </c>
      <c r="F102" s="43">
        <v>6.64</v>
      </c>
      <c r="G102" s="43">
        <v>-2.37</v>
      </c>
      <c r="H102" s="43">
        <v>-3.81</v>
      </c>
      <c r="I102" s="43">
        <v>1.32</v>
      </c>
      <c r="J102" s="43">
        <v>0.52</v>
      </c>
      <c r="K102" s="43">
        <v>0.86</v>
      </c>
      <c r="L102" s="43">
        <v>0.36</v>
      </c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</row>
    <row r="103" spans="2:53" x14ac:dyDescent="0.2">
      <c r="B103" s="25" t="str">
        <f t="shared" si="2"/>
        <v>[ROW:DEC_2023]</v>
      </c>
      <c r="C103" s="48">
        <f>IF(OR(Bench_Setup!$E$6="",Bench_Setup!$E$7=""),"",IF(EOMONTH(Bench_Setup!$E$6,95)&lt;=Bench_Setup!$E$7,EOMONTH(Bench_Setup!$E$6,95),""))</f>
        <v>45291</v>
      </c>
      <c r="D103" s="45">
        <v>13.22</v>
      </c>
      <c r="E103" s="43">
        <v>7.12</v>
      </c>
      <c r="F103" s="43">
        <v>-9.02</v>
      </c>
      <c r="G103" s="43">
        <v>7.8</v>
      </c>
      <c r="H103" s="43">
        <v>15.93</v>
      </c>
      <c r="I103" s="43">
        <v>-3.05</v>
      </c>
      <c r="J103" s="43">
        <v>7.16</v>
      </c>
      <c r="K103" s="43">
        <v>4.8499999999999996</v>
      </c>
      <c r="L103" s="43">
        <v>0.47</v>
      </c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</row>
    <row r="104" spans="2:53" x14ac:dyDescent="0.2">
      <c r="B104" s="25" t="str">
        <f t="shared" ref="B104:B135" si="3">IF(C104="","","[ROW:"&amp;UPPER(TEXT(C104,"MMM"))&amp;"_"&amp;TEXT(C104,"YYYY")&amp;"]")</f>
        <v>[ROW:JAN_2024]</v>
      </c>
      <c r="C104" s="48">
        <f>IF(OR(Bench_Setup!$E$6="",Bench_Setup!$E$7=""),"",IF(EOMONTH(Bench_Setup!$E$6,96)&lt;=Bench_Setup!$E$7,EOMONTH(Bench_Setup!$E$6,96),""))</f>
        <v>45322</v>
      </c>
      <c r="D104" s="45">
        <v>3.81</v>
      </c>
      <c r="E104" s="43">
        <v>0.98</v>
      </c>
      <c r="F104" s="43">
        <v>1.1299999999999999</v>
      </c>
      <c r="G104" s="43">
        <v>11.27</v>
      </c>
      <c r="H104" s="43">
        <v>-1.07</v>
      </c>
      <c r="I104" s="43">
        <v>-1.44</v>
      </c>
      <c r="J104" s="43">
        <v>0.2</v>
      </c>
      <c r="K104" s="43">
        <v>-2.6</v>
      </c>
      <c r="L104" s="43">
        <v>0.44</v>
      </c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</row>
    <row r="105" spans="2:53" x14ac:dyDescent="0.2">
      <c r="B105" s="25" t="str">
        <f t="shared" si="3"/>
        <v>[ROW:FEB_2024]</v>
      </c>
      <c r="C105" s="48">
        <f>IF(OR(Bench_Setup!$E$6="",Bench_Setup!$E$7=""),"",IF(EOMONTH(Bench_Setup!$E$6,97)&lt;=Bench_Setup!$E$7,EOMONTH(Bench_Setup!$E$6,97),""))</f>
        <v>45351</v>
      </c>
      <c r="D105" s="45">
        <v>3.25</v>
      </c>
      <c r="E105" s="43">
        <v>0.85</v>
      </c>
      <c r="F105" s="43">
        <v>1.1200000000000001</v>
      </c>
      <c r="G105" s="43">
        <v>6.87</v>
      </c>
      <c r="H105" s="43">
        <v>-1.02</v>
      </c>
      <c r="I105" s="43">
        <v>2.64</v>
      </c>
      <c r="J105" s="43">
        <v>-2.33</v>
      </c>
      <c r="K105" s="43">
        <v>1.51</v>
      </c>
      <c r="L105" s="43">
        <v>0.55000000000000004</v>
      </c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</row>
    <row r="106" spans="2:53" x14ac:dyDescent="0.2">
      <c r="B106" s="25" t="str">
        <f t="shared" si="3"/>
        <v>[ROW:MAR_2024]</v>
      </c>
      <c r="C106" s="48">
        <f>IF(OR(Bench_Setup!$E$6="",Bench_Setup!$E$7=""),"",IF(EOMONTH(Bench_Setup!$E$6,98)&lt;=Bench_Setup!$E$7,EOMONTH(Bench_Setup!$E$6,98),""))</f>
        <v>45382</v>
      </c>
      <c r="D106" s="45">
        <v>0.86</v>
      </c>
      <c r="E106" s="43">
        <v>6.46</v>
      </c>
      <c r="F106" s="43">
        <v>1.9</v>
      </c>
      <c r="G106" s="43">
        <v>-3.34</v>
      </c>
      <c r="H106" s="43">
        <v>-1.34</v>
      </c>
      <c r="I106" s="43">
        <v>1.86</v>
      </c>
      <c r="J106" s="43">
        <v>0.67</v>
      </c>
      <c r="K106" s="43">
        <v>0.38</v>
      </c>
      <c r="L106" s="43">
        <v>0.56000000000000005</v>
      </c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</row>
    <row r="107" spans="2:53" x14ac:dyDescent="0.2">
      <c r="B107" s="25" t="str">
        <f t="shared" si="3"/>
        <v>[ROW:APR_2024]</v>
      </c>
      <c r="C107" s="48">
        <f>IF(OR(Bench_Setup!$E$6="",Bench_Setup!$E$7=""),"",IF(EOMONTH(Bench_Setup!$E$6,99)&lt;=Bench_Setup!$E$7,EOMONTH(Bench_Setup!$E$6,99),""))</f>
        <v>45412</v>
      </c>
      <c r="D107" s="45">
        <v>0.56999999999999995</v>
      </c>
      <c r="E107" s="43">
        <v>-0.11</v>
      </c>
      <c r="F107" s="43">
        <v>3.72</v>
      </c>
      <c r="G107" s="43">
        <v>1.25</v>
      </c>
      <c r="H107" s="43">
        <v>-1.29</v>
      </c>
      <c r="I107" s="43">
        <v>3.24</v>
      </c>
      <c r="J107" s="43">
        <v>-0.62</v>
      </c>
      <c r="K107" s="43">
        <v>-0.8</v>
      </c>
      <c r="L107" s="43">
        <v>0.28000000000000003</v>
      </c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</row>
    <row r="108" spans="2:53" x14ac:dyDescent="0.2">
      <c r="B108" s="25" t="str">
        <f t="shared" si="3"/>
        <v>[ROW:MAY_2024]</v>
      </c>
      <c r="C108" s="48">
        <f>IF(OR(Bench_Setup!$E$6="",Bench_Setup!$E$7=""),"",IF(EOMONTH(Bench_Setup!$E$6,100)&lt;=Bench_Setup!$E$7,EOMONTH(Bench_Setup!$E$6,100),""))</f>
        <v>45443</v>
      </c>
      <c r="D108" s="45">
        <v>10.46</v>
      </c>
      <c r="E108" s="43">
        <v>2.4300000000000002</v>
      </c>
      <c r="F108" s="43">
        <v>3.43</v>
      </c>
      <c r="G108" s="43">
        <v>-1.26</v>
      </c>
      <c r="H108" s="43">
        <v>-0.25</v>
      </c>
      <c r="I108" s="43">
        <v>-4.16</v>
      </c>
      <c r="J108" s="43">
        <v>-0.82</v>
      </c>
      <c r="K108" s="43">
        <v>0.95</v>
      </c>
      <c r="L108" s="43">
        <v>0.56000000000000005</v>
      </c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</row>
    <row r="109" spans="2:53" x14ac:dyDescent="0.2">
      <c r="B109" s="25" t="str">
        <f t="shared" si="3"/>
        <v>[ROW:JUN_2024]</v>
      </c>
      <c r="C109" s="48">
        <f>IF(OR(Bench_Setup!$E$6="",Bench_Setup!$E$7=""),"",IF(EOMONTH(Bench_Setup!$E$6,101)&lt;=Bench_Setup!$E$7,EOMONTH(Bench_Setup!$E$6,101),""))</f>
        <v>45473</v>
      </c>
      <c r="D109" s="45">
        <v>5.82</v>
      </c>
      <c r="E109" s="43">
        <v>5.82</v>
      </c>
      <c r="F109" s="43">
        <v>-8.64</v>
      </c>
      <c r="G109" s="43">
        <v>-1.46</v>
      </c>
      <c r="H109" s="43">
        <v>1.75</v>
      </c>
      <c r="I109" s="43">
        <v>0.37</v>
      </c>
      <c r="J109" s="43">
        <v>-0.14000000000000001</v>
      </c>
      <c r="K109" s="43">
        <v>0.28999999999999998</v>
      </c>
      <c r="L109" s="43">
        <v>0.48</v>
      </c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</row>
    <row r="110" spans="2:53" x14ac:dyDescent="0.2">
      <c r="B110" s="25" t="str">
        <f t="shared" si="3"/>
        <v>[ROW:JUL_2024]</v>
      </c>
      <c r="C110" s="48">
        <f>IF(OR(Bench_Setup!$E$6="",Bench_Setup!$E$7=""),"",IF(EOMONTH(Bench_Setup!$E$6,102)&lt;=Bench_Setup!$E$7,EOMONTH(Bench_Setup!$E$6,102),""))</f>
        <v>45504</v>
      </c>
      <c r="D110" s="45">
        <v>-1.79</v>
      </c>
      <c r="E110" s="43">
        <v>6.35</v>
      </c>
      <c r="F110" s="43">
        <v>4.21</v>
      </c>
      <c r="G110" s="43">
        <v>-1.37</v>
      </c>
      <c r="H110" s="43">
        <v>1.99</v>
      </c>
      <c r="I110" s="43">
        <v>3.22</v>
      </c>
      <c r="J110" s="43">
        <v>0.25</v>
      </c>
      <c r="K110" s="43">
        <v>-1.1100000000000001</v>
      </c>
      <c r="L110" s="43">
        <v>0.51</v>
      </c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</row>
    <row r="111" spans="2:53" x14ac:dyDescent="0.2">
      <c r="B111" s="25" t="str">
        <f t="shared" si="3"/>
        <v>[ROW:AUG_2024]</v>
      </c>
      <c r="C111" s="48">
        <f>IF(OR(Bench_Setup!$E$6="",Bench_Setup!$E$7=""),"",IF(EOMONTH(Bench_Setup!$E$6,103)&lt;=Bench_Setup!$E$7,EOMONTH(Bench_Setup!$E$6,103),""))</f>
        <v>45535</v>
      </c>
      <c r="D111" s="45">
        <v>4.82</v>
      </c>
      <c r="E111" s="43">
        <v>4.79</v>
      </c>
      <c r="F111" s="43">
        <v>9.36</v>
      </c>
      <c r="G111" s="43">
        <v>-0.26</v>
      </c>
      <c r="H111" s="43">
        <v>-1.93</v>
      </c>
      <c r="I111" s="43">
        <v>2.3199999999999998</v>
      </c>
      <c r="J111" s="43">
        <v>0.59</v>
      </c>
      <c r="K111" s="43">
        <v>-0.51</v>
      </c>
      <c r="L111" s="43">
        <v>0.41</v>
      </c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</row>
    <row r="112" spans="2:53" x14ac:dyDescent="0.2">
      <c r="B112" s="25" t="str">
        <f t="shared" si="3"/>
        <v>[ROW:SEP_2024]</v>
      </c>
      <c r="C112" s="48">
        <f>IF(OR(Bench_Setup!$E$6="",Bench_Setup!$E$7=""),"",IF(EOMONTH(Bench_Setup!$E$6,104)&lt;=Bench_Setup!$E$7,EOMONTH(Bench_Setup!$E$6,104),""))</f>
        <v>45565</v>
      </c>
      <c r="D112" s="45">
        <v>-1.36</v>
      </c>
      <c r="E112" s="43">
        <v>2.21</v>
      </c>
      <c r="F112" s="43">
        <v>5.72</v>
      </c>
      <c r="G112" s="43">
        <v>2.12</v>
      </c>
      <c r="H112" s="43">
        <v>-0.75</v>
      </c>
      <c r="I112" s="43">
        <v>0.48</v>
      </c>
      <c r="J112" s="43">
        <v>-0.36</v>
      </c>
      <c r="K112" s="43">
        <v>1.84</v>
      </c>
      <c r="L112" s="43">
        <v>0.47</v>
      </c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</row>
    <row r="113" spans="2:53" x14ac:dyDescent="0.2">
      <c r="B113" s="25" t="str">
        <f t="shared" si="3"/>
        <v>[ROW:OCT_2024]</v>
      </c>
      <c r="C113" s="48">
        <f>IF(OR(Bench_Setup!$E$6="",Bench_Setup!$E$7=""),"",IF(EOMONTH(Bench_Setup!$E$6,105)&lt;=Bench_Setup!$E$7,EOMONTH(Bench_Setup!$E$6,105),""))</f>
        <v>45596</v>
      </c>
      <c r="D113" s="45">
        <v>2.65</v>
      </c>
      <c r="E113" s="43">
        <v>0.81</v>
      </c>
      <c r="F113" s="43">
        <v>-4.92</v>
      </c>
      <c r="G113" s="43">
        <v>4.8</v>
      </c>
      <c r="H113" s="43">
        <v>2.1800000000000002</v>
      </c>
      <c r="I113" s="43">
        <v>-0.35</v>
      </c>
      <c r="J113" s="43">
        <v>7.0000000000000007E-2</v>
      </c>
      <c r="K113" s="43">
        <v>-0.38</v>
      </c>
      <c r="L113" s="43">
        <v>0.47</v>
      </c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</row>
    <row r="114" spans="2:53" x14ac:dyDescent="0.2">
      <c r="B114" s="25" t="str">
        <f t="shared" si="3"/>
        <v>[ROW:NOV_2024]</v>
      </c>
      <c r="C114" s="48">
        <f>IF(OR(Bench_Setup!$E$6="",Bench_Setup!$E$7=""),"",IF(EOMONTH(Bench_Setup!$E$6,106)&lt;=Bench_Setup!$E$7,EOMONTH(Bench_Setup!$E$6,106),""))</f>
        <v>45626</v>
      </c>
      <c r="D114" s="45">
        <v>-0.31</v>
      </c>
      <c r="E114" s="43">
        <v>1.3</v>
      </c>
      <c r="F114" s="43">
        <v>-3.64</v>
      </c>
      <c r="G114" s="43">
        <v>-0.03</v>
      </c>
      <c r="H114" s="43">
        <v>3.52</v>
      </c>
      <c r="I114" s="43">
        <v>-2.5499999999999998</v>
      </c>
      <c r="J114" s="43">
        <v>-0.77</v>
      </c>
      <c r="K114" s="43">
        <v>1.62</v>
      </c>
      <c r="L114" s="43">
        <v>0.54</v>
      </c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</row>
    <row r="115" spans="2:53" x14ac:dyDescent="0.2">
      <c r="B115" s="25" t="str">
        <f t="shared" si="3"/>
        <v>[ROW:DEC_2024]</v>
      </c>
      <c r="C115" s="48">
        <f>IF(OR(Bench_Setup!$E$6="",Bench_Setup!$E$7=""),"",IF(EOMONTH(Bench_Setup!$E$6,107)&lt;=Bench_Setup!$E$7,EOMONTH(Bench_Setup!$E$6,107),""))</f>
        <v>45657</v>
      </c>
      <c r="D115" s="45">
        <v>-6.1</v>
      </c>
      <c r="E115" s="43">
        <v>-23.22</v>
      </c>
      <c r="F115" s="43">
        <v>-5.1100000000000003</v>
      </c>
      <c r="G115" s="43">
        <v>-3.15</v>
      </c>
      <c r="H115" s="43">
        <v>6.44</v>
      </c>
      <c r="I115" s="43">
        <v>3.26</v>
      </c>
      <c r="J115" s="43">
        <v>4.2300000000000004</v>
      </c>
      <c r="K115" s="43">
        <v>0.16</v>
      </c>
      <c r="L115" s="43">
        <v>-0.08</v>
      </c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</row>
    <row r="116" spans="2:53" x14ac:dyDescent="0.2">
      <c r="B116" s="25" t="str">
        <f t="shared" si="3"/>
        <v>[ROW:JAN_2025]</v>
      </c>
      <c r="C116" s="48">
        <f>IF(OR(Bench_Setup!$E$6="",Bench_Setup!$E$7=""),"",IF(EOMONTH(Bench_Setup!$E$6,108)&lt;=Bench_Setup!$E$7,EOMONTH(Bench_Setup!$E$6,108),""))</f>
        <v>45688</v>
      </c>
      <c r="D116" s="45">
        <v>-0.39</v>
      </c>
      <c r="E116" s="43">
        <v>-1.52</v>
      </c>
      <c r="F116" s="43">
        <v>-2.2200000000000002</v>
      </c>
      <c r="G116" s="43">
        <v>-1.42</v>
      </c>
      <c r="H116" s="43">
        <v>-0.66</v>
      </c>
      <c r="I116" s="43">
        <v>-1.26</v>
      </c>
      <c r="J116" s="43">
        <v>0.7</v>
      </c>
      <c r="K116" s="43">
        <v>1.42</v>
      </c>
      <c r="L116" s="43">
        <v>0.4</v>
      </c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</row>
    <row r="117" spans="2:53" x14ac:dyDescent="0.2">
      <c r="B117" s="25" t="str">
        <f t="shared" si="3"/>
        <v>[ROW:FEB_2025]</v>
      </c>
      <c r="C117" s="48">
        <f>IF(OR(Bench_Setup!$E$6="",Bench_Setup!$E$7=""),"",IF(EOMONTH(Bench_Setup!$E$6,109)&lt;=Bench_Setup!$E$7,EOMONTH(Bench_Setup!$E$6,109),""))</f>
        <v>45716</v>
      </c>
      <c r="D117" s="45">
        <v>2.59</v>
      </c>
      <c r="E117" s="43">
        <v>1.3</v>
      </c>
      <c r="F117" s="43">
        <v>-4.0999999999999996</v>
      </c>
      <c r="G117" s="43">
        <v>-1.03</v>
      </c>
      <c r="H117" s="43">
        <v>0.78</v>
      </c>
      <c r="I117" s="43">
        <v>-1.86</v>
      </c>
      <c r="J117" s="43">
        <v>-2.0099999999999998</v>
      </c>
      <c r="K117" s="43">
        <v>-0.91</v>
      </c>
      <c r="L117" s="43">
        <v>0.44</v>
      </c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</row>
    <row r="118" spans="2:53" x14ac:dyDescent="0.2">
      <c r="B118" s="25" t="str">
        <f t="shared" si="3"/>
        <v>[ROW:MAR_2025]</v>
      </c>
      <c r="C118" s="48">
        <f>IF(OR(Bench_Setup!$E$6="",Bench_Setup!$E$7=""),"",IF(EOMONTH(Bench_Setup!$E$6,110)&lt;=Bench_Setup!$E$7,EOMONTH(Bench_Setup!$E$6,110),""))</f>
        <v>45747</v>
      </c>
      <c r="D118" s="45">
        <v>3.06</v>
      </c>
      <c r="E118" s="43">
        <v>-3.41</v>
      </c>
      <c r="F118" s="43">
        <v>6.82</v>
      </c>
      <c r="G118" s="43">
        <v>1.67</v>
      </c>
      <c r="H118" s="43">
        <v>2.4700000000000002</v>
      </c>
      <c r="I118" s="43">
        <v>-0.38</v>
      </c>
      <c r="J118" s="43">
        <v>0.82</v>
      </c>
      <c r="K118" s="43">
        <v>2</v>
      </c>
      <c r="L118" s="43">
        <v>0.4</v>
      </c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</row>
    <row r="119" spans="2:53" x14ac:dyDescent="0.2">
      <c r="B119" s="25" t="str">
        <f t="shared" si="3"/>
        <v>[ROW:APR_2025]</v>
      </c>
      <c r="C119" s="48">
        <f>IF(OR(Bench_Setup!$E$6="",Bench_Setup!$E$7=""),"",IF(EOMONTH(Bench_Setup!$E$6,111)&lt;=Bench_Setup!$E$7,EOMONTH(Bench_Setup!$E$6,111),""))</f>
        <v>45777</v>
      </c>
      <c r="D119" s="45">
        <v>-6.49</v>
      </c>
      <c r="E119" s="43">
        <v>-5.14</v>
      </c>
      <c r="F119" s="43">
        <v>0.54</v>
      </c>
      <c r="G119" s="43">
        <v>0.86</v>
      </c>
      <c r="H119" s="43">
        <v>3.26</v>
      </c>
      <c r="I119" s="43">
        <v>0.05</v>
      </c>
      <c r="J119" s="43">
        <v>-1.43</v>
      </c>
      <c r="K119" s="43">
        <v>2.0099999999999998</v>
      </c>
      <c r="L119" s="43">
        <v>0.36</v>
      </c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</row>
    <row r="120" spans="2:53" x14ac:dyDescent="0.2">
      <c r="B120" s="25" t="str">
        <f t="shared" si="3"/>
        <v>[ROW:MAY_2025]</v>
      </c>
      <c r="C120" s="48">
        <f>IF(OR(Bench_Setup!$E$6="",Bench_Setup!$E$7=""),"",IF(EOMONTH(Bench_Setup!$E$6,112)&lt;=Bench_Setup!$E$7,EOMONTH(Bench_Setup!$E$6,112),""))</f>
        <v>45808</v>
      </c>
      <c r="D120" s="45">
        <v>5.57</v>
      </c>
      <c r="E120" s="43">
        <v>2.23</v>
      </c>
      <c r="F120" s="43">
        <v>12.21</v>
      </c>
      <c r="G120" s="43">
        <v>5.41</v>
      </c>
      <c r="H120" s="43">
        <v>-2.7</v>
      </c>
      <c r="I120" s="43">
        <v>-1.49</v>
      </c>
      <c r="J120" s="43">
        <v>-0.74</v>
      </c>
      <c r="K120" s="43">
        <v>-0.69</v>
      </c>
      <c r="L120" s="43">
        <v>0.39</v>
      </c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</row>
    <row r="121" spans="2:53" x14ac:dyDescent="0.2">
      <c r="B121" s="25" t="str">
        <f t="shared" si="3"/>
        <v>[ROW:JUN_2025]</v>
      </c>
      <c r="C121" s="48">
        <f>IF(OR(Bench_Setup!$E$6="",Bench_Setup!$E$7=""),"",IF(EOMONTH(Bench_Setup!$E$6,113)&lt;=Bench_Setup!$E$7,EOMONTH(Bench_Setup!$E$6,113),""))</f>
        <v>45838</v>
      </c>
      <c r="D121" s="45">
        <v>-7.72</v>
      </c>
      <c r="E121" s="43">
        <v>1.0900000000000001</v>
      </c>
      <c r="F121" s="43">
        <v>-0.52</v>
      </c>
      <c r="G121" s="43">
        <v>8.01</v>
      </c>
      <c r="H121" s="43">
        <v>1.77</v>
      </c>
      <c r="I121" s="43">
        <v>1.1000000000000001</v>
      </c>
      <c r="J121" s="43">
        <v>0.78</v>
      </c>
      <c r="K121" s="43">
        <v>3.15</v>
      </c>
      <c r="L121" s="43">
        <v>0.49</v>
      </c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</row>
    <row r="122" spans="2:53" x14ac:dyDescent="0.2">
      <c r="B122" s="25" t="str">
        <f t="shared" si="3"/>
        <v>[ROW:JUL_2025]</v>
      </c>
      <c r="C122" s="48">
        <f>IF(OR(Bench_Setup!$E$6="",Bench_Setup!$E$7=""),"",IF(EOMONTH(Bench_Setup!$E$6,114)&lt;=Bench_Setup!$E$7,EOMONTH(Bench_Setup!$E$6,114),""))</f>
        <v>45869</v>
      </c>
      <c r="D122" s="45">
        <v>-5.16</v>
      </c>
      <c r="E122" s="43">
        <v>6.93</v>
      </c>
      <c r="F122" s="43">
        <v>2.76</v>
      </c>
      <c r="G122" s="43">
        <v>-5.74</v>
      </c>
      <c r="H122" s="43">
        <v>0.2</v>
      </c>
      <c r="I122" s="43">
        <v>-3.31</v>
      </c>
      <c r="J122" s="43">
        <v>-1.52</v>
      </c>
      <c r="K122" s="43">
        <v>1.06</v>
      </c>
      <c r="L122" s="43">
        <v>0.42</v>
      </c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</row>
    <row r="123" spans="2:53" x14ac:dyDescent="0.2">
      <c r="B123" s="25" t="str">
        <f t="shared" si="3"/>
        <v>[ROW:AUG_2025]</v>
      </c>
      <c r="C123" s="48">
        <f>IF(OR(Bench_Setup!$E$6="",Bench_Setup!$E$7=""),"",IF(EOMONTH(Bench_Setup!$E$6,115)&lt;=Bench_Setup!$E$7,EOMONTH(Bench_Setup!$E$6,115),""))</f>
        <v>45900</v>
      </c>
      <c r="D123" s="45">
        <v>-1.4</v>
      </c>
      <c r="E123" s="43">
        <v>-0.64</v>
      </c>
      <c r="F123" s="43">
        <v>-2.71</v>
      </c>
      <c r="G123" s="43">
        <v>6.71</v>
      </c>
      <c r="H123" s="43">
        <v>-1.06</v>
      </c>
      <c r="I123" s="43">
        <v>0.21</v>
      </c>
      <c r="J123" s="43">
        <v>1.75</v>
      </c>
      <c r="K123" s="43">
        <v>-2.1</v>
      </c>
      <c r="L123" s="43">
        <v>0.24</v>
      </c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</row>
    <row r="124" spans="2:53" x14ac:dyDescent="0.2">
      <c r="B124" s="25" t="str">
        <f t="shared" si="3"/>
        <v>[ROW:SEP_2025]</v>
      </c>
      <c r="C124" s="48">
        <f>IF(OR(Bench_Setup!$E$6="",Bench_Setup!$E$7=""),"",IF(EOMONTH(Bench_Setup!$E$6,116)&lt;=Bench_Setup!$E$7,EOMONTH(Bench_Setup!$E$6,116),""))</f>
        <v>45930</v>
      </c>
      <c r="D124" s="45">
        <v>2.72</v>
      </c>
      <c r="E124" s="43">
        <v>2.61</v>
      </c>
      <c r="F124" s="43">
        <v>-2.11</v>
      </c>
      <c r="G124" s="43">
        <v>2.59</v>
      </c>
      <c r="H124" s="43">
        <v>2.5499999999999998</v>
      </c>
      <c r="I124" s="43">
        <v>-0.79</v>
      </c>
      <c r="J124" s="43">
        <v>0.56000000000000005</v>
      </c>
      <c r="K124" s="43">
        <v>-0.66</v>
      </c>
      <c r="L124" s="43">
        <v>0.23</v>
      </c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</row>
    <row r="125" spans="2:53" x14ac:dyDescent="0.2">
      <c r="B125" s="25" t="str">
        <f t="shared" si="3"/>
        <v>[ROW:OCT_2025]</v>
      </c>
      <c r="C125" s="48">
        <f>IF(OR(Bench_Setup!$E$6="",Bench_Setup!$E$7=""),"",IF(EOMONTH(Bench_Setup!$E$6,117)&lt;=Bench_Setup!$E$7,EOMONTH(Bench_Setup!$E$6,117),""))</f>
        <v>45961</v>
      </c>
      <c r="D125" s="45">
        <v>0.4</v>
      </c>
      <c r="E125" s="43">
        <v>-2.35</v>
      </c>
      <c r="F125" s="43">
        <v>-5.24</v>
      </c>
      <c r="G125" s="43">
        <v>1.46</v>
      </c>
      <c r="H125" s="43">
        <v>0.25</v>
      </c>
      <c r="I125" s="43">
        <v>1.45</v>
      </c>
      <c r="J125" s="43">
        <v>-1.18</v>
      </c>
      <c r="K125" s="43">
        <v>0.1</v>
      </c>
      <c r="L125" s="43">
        <v>0.5</v>
      </c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</row>
    <row r="126" spans="2:53" x14ac:dyDescent="0.2">
      <c r="B126" s="25" t="str">
        <f t="shared" si="3"/>
        <v>[ROW:NOV_2025]</v>
      </c>
      <c r="C126" s="48">
        <f>IF(OR(Bench_Setup!$E$6="",Bench_Setup!$E$7=""),"",IF(EOMONTH(Bench_Setup!$E$6,118)&lt;=Bench_Setup!$E$7,EOMONTH(Bench_Setup!$E$6,118),""))</f>
        <v>45991</v>
      </c>
      <c r="D126" s="45">
        <v>-1.4</v>
      </c>
      <c r="E126" s="43">
        <v>-3.06</v>
      </c>
      <c r="F126" s="43">
        <v>3.75</v>
      </c>
      <c r="G126" s="43">
        <v>-4.37</v>
      </c>
      <c r="H126" s="43">
        <v>1.17</v>
      </c>
      <c r="I126" s="43">
        <v>0.09</v>
      </c>
      <c r="J126" s="43">
        <v>-1.21</v>
      </c>
      <c r="K126" s="43">
        <v>0.06</v>
      </c>
      <c r="L126" s="43">
        <v>0.41</v>
      </c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</row>
    <row r="127" spans="2:53" x14ac:dyDescent="0.2">
      <c r="B127" s="25" t="str">
        <f t="shared" si="3"/>
        <v>[ROW:DEC_2025]</v>
      </c>
      <c r="C127" s="48">
        <f>IF(OR(Bench_Setup!$E$6="",Bench_Setup!$E$7=""),"",IF(EOMONTH(Bench_Setup!$E$6,119)&lt;=Bench_Setup!$E$7,EOMONTH(Bench_Setup!$E$6,119),""))</f>
        <v>46022</v>
      </c>
      <c r="D127" s="45">
        <v>22.75</v>
      </c>
      <c r="E127" s="43">
        <v>11.51</v>
      </c>
      <c r="F127" s="43">
        <v>-1.03</v>
      </c>
      <c r="G127" s="43">
        <v>-3.89</v>
      </c>
      <c r="H127" s="43">
        <v>-3.9</v>
      </c>
      <c r="I127" s="43">
        <v>11.89</v>
      </c>
      <c r="J127" s="43">
        <v>7.01</v>
      </c>
      <c r="K127" s="43">
        <v>-2.48</v>
      </c>
      <c r="L127" s="43">
        <v>-0.04</v>
      </c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</row>
    <row r="128" spans="2:53" x14ac:dyDescent="0.2">
      <c r="B128" s="25" t="str">
        <f t="shared" si="3"/>
        <v/>
      </c>
      <c r="C128" s="48" t="str">
        <f>IF(OR(Bench_Setup!$E$6="",Bench_Setup!$E$7=""),"",IF(EOMONTH(Bench_Setup!$E$6,120)&lt;=Bench_Setup!$E$7,EOMONTH(Bench_Setup!$E$6,120),""))</f>
        <v/>
      </c>
      <c r="D128" s="46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</row>
    <row r="129" spans="2:53" x14ac:dyDescent="0.2">
      <c r="B129" s="25" t="str">
        <f t="shared" si="3"/>
        <v/>
      </c>
      <c r="C129" s="48" t="str">
        <f>IF(OR(Bench_Setup!$E$6="",Bench_Setup!$E$7=""),"",IF(EOMONTH(Bench_Setup!$E$6,121)&lt;=Bench_Setup!$E$7,EOMONTH(Bench_Setup!$E$6,121),""))</f>
        <v/>
      </c>
      <c r="D129" s="46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</row>
    <row r="130" spans="2:53" x14ac:dyDescent="0.2">
      <c r="B130" s="25" t="str">
        <f t="shared" si="3"/>
        <v/>
      </c>
      <c r="C130" s="48" t="str">
        <f>IF(OR(Bench_Setup!$E$6="",Bench_Setup!$E$7=""),"",IF(EOMONTH(Bench_Setup!$E$6,122)&lt;=Bench_Setup!$E$7,EOMONTH(Bench_Setup!$E$6,122),""))</f>
        <v/>
      </c>
      <c r="D130" s="46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</row>
    <row r="131" spans="2:53" x14ac:dyDescent="0.2">
      <c r="B131" s="25" t="str">
        <f t="shared" si="3"/>
        <v/>
      </c>
      <c r="C131" s="48" t="str">
        <f>IF(OR(Bench_Setup!$E$6="",Bench_Setup!$E$7=""),"",IF(EOMONTH(Bench_Setup!$E$6,123)&lt;=Bench_Setup!$E$7,EOMONTH(Bench_Setup!$E$6,123),""))</f>
        <v/>
      </c>
      <c r="D131" s="46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</row>
    <row r="132" spans="2:53" x14ac:dyDescent="0.2">
      <c r="B132" s="25" t="str">
        <f t="shared" si="3"/>
        <v/>
      </c>
      <c r="C132" s="48" t="str">
        <f>IF(OR(Bench_Setup!$E$6="",Bench_Setup!$E$7=""),"",IF(EOMONTH(Bench_Setup!$E$6,124)&lt;=Bench_Setup!$E$7,EOMONTH(Bench_Setup!$E$6,124),""))</f>
        <v/>
      </c>
      <c r="D132" s="46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</row>
    <row r="133" spans="2:53" x14ac:dyDescent="0.2">
      <c r="B133" s="25" t="str">
        <f t="shared" si="3"/>
        <v/>
      </c>
      <c r="C133" s="48" t="str">
        <f>IF(OR(Bench_Setup!$E$6="",Bench_Setup!$E$7=""),"",IF(EOMONTH(Bench_Setup!$E$6,125)&lt;=Bench_Setup!$E$7,EOMONTH(Bench_Setup!$E$6,125),""))</f>
        <v/>
      </c>
      <c r="D133" s="46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</row>
    <row r="134" spans="2:53" x14ac:dyDescent="0.2">
      <c r="B134" s="25" t="str">
        <f t="shared" si="3"/>
        <v/>
      </c>
      <c r="C134" s="48" t="str">
        <f>IF(OR(Bench_Setup!$E$6="",Bench_Setup!$E$7=""),"",IF(EOMONTH(Bench_Setup!$E$6,126)&lt;=Bench_Setup!$E$7,EOMONTH(Bench_Setup!$E$6,126),""))</f>
        <v/>
      </c>
      <c r="D134" s="46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</row>
    <row r="135" spans="2:53" x14ac:dyDescent="0.2">
      <c r="B135" s="25" t="str">
        <f t="shared" si="3"/>
        <v/>
      </c>
      <c r="C135" s="48" t="str">
        <f>IF(OR(Bench_Setup!$E$6="",Bench_Setup!$E$7=""),"",IF(EOMONTH(Bench_Setup!$E$6,127)&lt;=Bench_Setup!$E$7,EOMONTH(Bench_Setup!$E$6,127),""))</f>
        <v/>
      </c>
      <c r="D135" s="46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</row>
    <row r="136" spans="2:53" x14ac:dyDescent="0.2">
      <c r="B136" s="25" t="str">
        <f t="shared" ref="B136:B167" si="4">IF(C136="","","[ROW:"&amp;UPPER(TEXT(C136,"MMM"))&amp;"_"&amp;TEXT(C136,"YYYY")&amp;"]")</f>
        <v/>
      </c>
      <c r="C136" s="48" t="str">
        <f>IF(OR(Bench_Setup!$E$6="",Bench_Setup!$E$7=""),"",IF(EOMONTH(Bench_Setup!$E$6,128)&lt;=Bench_Setup!$E$7,EOMONTH(Bench_Setup!$E$6,128),""))</f>
        <v/>
      </c>
      <c r="D136" s="46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</row>
    <row r="137" spans="2:53" x14ac:dyDescent="0.2">
      <c r="B137" s="25" t="str">
        <f t="shared" si="4"/>
        <v/>
      </c>
      <c r="C137" s="48" t="str">
        <f>IF(OR(Bench_Setup!$E$6="",Bench_Setup!$E$7=""),"",IF(EOMONTH(Bench_Setup!$E$6,129)&lt;=Bench_Setup!$E$7,EOMONTH(Bench_Setup!$E$6,129),""))</f>
        <v/>
      </c>
      <c r="D137" s="46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</row>
    <row r="138" spans="2:53" x14ac:dyDescent="0.2">
      <c r="B138" s="25" t="str">
        <f t="shared" si="4"/>
        <v/>
      </c>
      <c r="C138" s="48" t="str">
        <f>IF(OR(Bench_Setup!$E$6="",Bench_Setup!$E$7=""),"",IF(EOMONTH(Bench_Setup!$E$6,130)&lt;=Bench_Setup!$E$7,EOMONTH(Bench_Setup!$E$6,130),""))</f>
        <v/>
      </c>
      <c r="D138" s="46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</row>
    <row r="139" spans="2:53" x14ac:dyDescent="0.2">
      <c r="B139" s="25" t="str">
        <f t="shared" si="4"/>
        <v/>
      </c>
      <c r="C139" s="48" t="str">
        <f>IF(OR(Bench_Setup!$E$6="",Bench_Setup!$E$7=""),"",IF(EOMONTH(Bench_Setup!$E$6,131)&lt;=Bench_Setup!$E$7,EOMONTH(Bench_Setup!$E$6,131),""))</f>
        <v/>
      </c>
      <c r="D139" s="46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</row>
    <row r="140" spans="2:53" x14ac:dyDescent="0.2">
      <c r="B140" s="25" t="str">
        <f t="shared" si="4"/>
        <v/>
      </c>
      <c r="C140" s="48" t="str">
        <f>IF(OR(Bench_Setup!$E$6="",Bench_Setup!$E$7=""),"",IF(EOMONTH(Bench_Setup!$E$6,132)&lt;=Bench_Setup!$E$7,EOMONTH(Bench_Setup!$E$6,132),""))</f>
        <v/>
      </c>
      <c r="D140" s="46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</row>
    <row r="141" spans="2:53" x14ac:dyDescent="0.2">
      <c r="B141" s="25" t="str">
        <f t="shared" si="4"/>
        <v/>
      </c>
      <c r="C141" s="48" t="str">
        <f>IF(OR(Bench_Setup!$E$6="",Bench_Setup!$E$7=""),"",IF(EOMONTH(Bench_Setup!$E$6,133)&lt;=Bench_Setup!$E$7,EOMONTH(Bench_Setup!$E$6,133),""))</f>
        <v/>
      </c>
      <c r="D141" s="46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</row>
    <row r="142" spans="2:53" x14ac:dyDescent="0.2">
      <c r="B142" s="25" t="str">
        <f t="shared" si="4"/>
        <v/>
      </c>
      <c r="C142" s="48" t="str">
        <f>IF(OR(Bench_Setup!$E$6="",Bench_Setup!$E$7=""),"",IF(EOMONTH(Bench_Setup!$E$6,134)&lt;=Bench_Setup!$E$7,EOMONTH(Bench_Setup!$E$6,134),""))</f>
        <v/>
      </c>
      <c r="D142" s="46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</row>
    <row r="143" spans="2:53" x14ac:dyDescent="0.2">
      <c r="B143" s="25" t="str">
        <f t="shared" si="4"/>
        <v/>
      </c>
      <c r="C143" s="48" t="str">
        <f>IF(OR(Bench_Setup!$E$6="",Bench_Setup!$E$7=""),"",IF(EOMONTH(Bench_Setup!$E$6,135)&lt;=Bench_Setup!$E$7,EOMONTH(Bench_Setup!$E$6,135),""))</f>
        <v/>
      </c>
      <c r="D143" s="46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</row>
    <row r="144" spans="2:53" x14ac:dyDescent="0.2">
      <c r="B144" s="25" t="str">
        <f t="shared" si="4"/>
        <v/>
      </c>
      <c r="C144" s="48" t="str">
        <f>IF(OR(Bench_Setup!$E$6="",Bench_Setup!$E$7=""),"",IF(EOMONTH(Bench_Setup!$E$6,136)&lt;=Bench_Setup!$E$7,EOMONTH(Bench_Setup!$E$6,136),""))</f>
        <v/>
      </c>
      <c r="D144" s="46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</row>
    <row r="145" spans="2:53" x14ac:dyDescent="0.2">
      <c r="B145" s="25" t="str">
        <f t="shared" si="4"/>
        <v/>
      </c>
      <c r="C145" s="48" t="str">
        <f>IF(OR(Bench_Setup!$E$6="",Bench_Setup!$E$7=""),"",IF(EOMONTH(Bench_Setup!$E$6,137)&lt;=Bench_Setup!$E$7,EOMONTH(Bench_Setup!$E$6,137),""))</f>
        <v/>
      </c>
      <c r="D145" s="46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</row>
    <row r="146" spans="2:53" x14ac:dyDescent="0.2">
      <c r="B146" s="25" t="str">
        <f t="shared" si="4"/>
        <v/>
      </c>
      <c r="C146" s="48" t="str">
        <f>IF(OR(Bench_Setup!$E$6="",Bench_Setup!$E$7=""),"",IF(EOMONTH(Bench_Setup!$E$6,138)&lt;=Bench_Setup!$E$7,EOMONTH(Bench_Setup!$E$6,138),""))</f>
        <v/>
      </c>
      <c r="D146" s="46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</row>
    <row r="147" spans="2:53" x14ac:dyDescent="0.2">
      <c r="B147" s="25" t="str">
        <f t="shared" si="4"/>
        <v/>
      </c>
      <c r="C147" s="48" t="str">
        <f>IF(OR(Bench_Setup!$E$6="",Bench_Setup!$E$7=""),"",IF(EOMONTH(Bench_Setup!$E$6,139)&lt;=Bench_Setup!$E$7,EOMONTH(Bench_Setup!$E$6,139),""))</f>
        <v/>
      </c>
      <c r="D147" s="46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</row>
    <row r="148" spans="2:53" x14ac:dyDescent="0.2">
      <c r="B148" s="25" t="str">
        <f t="shared" si="4"/>
        <v/>
      </c>
      <c r="C148" s="48" t="str">
        <f>IF(OR(Bench_Setup!$E$6="",Bench_Setup!$E$7=""),"",IF(EOMONTH(Bench_Setup!$E$6,140)&lt;=Bench_Setup!$E$7,EOMONTH(Bench_Setup!$E$6,140),""))</f>
        <v/>
      </c>
      <c r="D148" s="46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</row>
    <row r="149" spans="2:53" x14ac:dyDescent="0.2">
      <c r="B149" s="25" t="str">
        <f t="shared" si="4"/>
        <v/>
      </c>
      <c r="C149" s="48" t="str">
        <f>IF(OR(Bench_Setup!$E$6="",Bench_Setup!$E$7=""),"",IF(EOMONTH(Bench_Setup!$E$6,141)&lt;=Bench_Setup!$E$7,EOMONTH(Bench_Setup!$E$6,141),""))</f>
        <v/>
      </c>
      <c r="D149" s="46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</row>
    <row r="150" spans="2:53" x14ac:dyDescent="0.2">
      <c r="B150" s="25" t="str">
        <f t="shared" si="4"/>
        <v/>
      </c>
      <c r="C150" s="48" t="str">
        <f>IF(OR(Bench_Setup!$E$6="",Bench_Setup!$E$7=""),"",IF(EOMONTH(Bench_Setup!$E$6,142)&lt;=Bench_Setup!$E$7,EOMONTH(Bench_Setup!$E$6,142),""))</f>
        <v/>
      </c>
      <c r="D150" s="46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</row>
    <row r="151" spans="2:53" x14ac:dyDescent="0.2">
      <c r="B151" s="25" t="str">
        <f t="shared" si="4"/>
        <v/>
      </c>
      <c r="C151" s="48" t="str">
        <f>IF(OR(Bench_Setup!$E$6="",Bench_Setup!$E$7=""),"",IF(EOMONTH(Bench_Setup!$E$6,143)&lt;=Bench_Setup!$E$7,EOMONTH(Bench_Setup!$E$6,143),""))</f>
        <v/>
      </c>
      <c r="D151" s="46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</row>
    <row r="152" spans="2:53" x14ac:dyDescent="0.2">
      <c r="B152" s="25" t="str">
        <f t="shared" si="4"/>
        <v/>
      </c>
      <c r="C152" s="48" t="str">
        <f>IF(OR(Bench_Setup!$E$6="",Bench_Setup!$E$7=""),"",IF(EOMONTH(Bench_Setup!$E$6,144)&lt;=Bench_Setup!$E$7,EOMONTH(Bench_Setup!$E$6,144),""))</f>
        <v/>
      </c>
      <c r="D152" s="46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</row>
    <row r="153" spans="2:53" x14ac:dyDescent="0.2">
      <c r="B153" s="25" t="str">
        <f t="shared" si="4"/>
        <v/>
      </c>
      <c r="C153" s="48" t="str">
        <f>IF(OR(Bench_Setup!$E$6="",Bench_Setup!$E$7=""),"",IF(EOMONTH(Bench_Setup!$E$6,145)&lt;=Bench_Setup!$E$7,EOMONTH(Bench_Setup!$E$6,145),""))</f>
        <v/>
      </c>
      <c r="D153" s="46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</row>
    <row r="154" spans="2:53" x14ac:dyDescent="0.2">
      <c r="B154" s="25" t="str">
        <f t="shared" si="4"/>
        <v/>
      </c>
      <c r="C154" s="48" t="str">
        <f>IF(OR(Bench_Setup!$E$6="",Bench_Setup!$E$7=""),"",IF(EOMONTH(Bench_Setup!$E$6,146)&lt;=Bench_Setup!$E$7,EOMONTH(Bench_Setup!$E$6,146),""))</f>
        <v/>
      </c>
      <c r="D154" s="46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</row>
    <row r="155" spans="2:53" x14ac:dyDescent="0.2">
      <c r="B155" s="25" t="str">
        <f t="shared" si="4"/>
        <v/>
      </c>
      <c r="C155" s="48" t="str">
        <f>IF(OR(Bench_Setup!$E$6="",Bench_Setup!$E$7=""),"",IF(EOMONTH(Bench_Setup!$E$6,147)&lt;=Bench_Setup!$E$7,EOMONTH(Bench_Setup!$E$6,147),""))</f>
        <v/>
      </c>
      <c r="D155" s="46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</row>
    <row r="156" spans="2:53" x14ac:dyDescent="0.2">
      <c r="B156" s="25" t="str">
        <f t="shared" si="4"/>
        <v/>
      </c>
      <c r="C156" s="48" t="str">
        <f>IF(OR(Bench_Setup!$E$6="",Bench_Setup!$E$7=""),"",IF(EOMONTH(Bench_Setup!$E$6,148)&lt;=Bench_Setup!$E$7,EOMONTH(Bench_Setup!$E$6,148),""))</f>
        <v/>
      </c>
      <c r="D156" s="46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</row>
    <row r="157" spans="2:53" x14ac:dyDescent="0.2">
      <c r="B157" s="25" t="str">
        <f t="shared" si="4"/>
        <v/>
      </c>
      <c r="C157" s="48" t="str">
        <f>IF(OR(Bench_Setup!$E$6="",Bench_Setup!$E$7=""),"",IF(EOMONTH(Bench_Setup!$E$6,149)&lt;=Bench_Setup!$E$7,EOMONTH(Bench_Setup!$E$6,149),""))</f>
        <v/>
      </c>
      <c r="D157" s="46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</row>
    <row r="158" spans="2:53" x14ac:dyDescent="0.2">
      <c r="B158" s="25" t="str">
        <f t="shared" si="4"/>
        <v/>
      </c>
      <c r="C158" s="48" t="str">
        <f>IF(OR(Bench_Setup!$E$6="",Bench_Setup!$E$7=""),"",IF(EOMONTH(Bench_Setup!$E$6,150)&lt;=Bench_Setup!$E$7,EOMONTH(Bench_Setup!$E$6,150),""))</f>
        <v/>
      </c>
      <c r="D158" s="46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</row>
    <row r="159" spans="2:53" x14ac:dyDescent="0.2">
      <c r="B159" s="25" t="str">
        <f t="shared" si="4"/>
        <v/>
      </c>
      <c r="C159" s="48" t="str">
        <f>IF(OR(Bench_Setup!$E$6="",Bench_Setup!$E$7=""),"",IF(EOMONTH(Bench_Setup!$E$6,151)&lt;=Bench_Setup!$E$7,EOMONTH(Bench_Setup!$E$6,151),""))</f>
        <v/>
      </c>
      <c r="D159" s="46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</row>
    <row r="160" spans="2:53" x14ac:dyDescent="0.2">
      <c r="B160" s="25" t="str">
        <f t="shared" si="4"/>
        <v/>
      </c>
      <c r="C160" s="48" t="str">
        <f>IF(OR(Bench_Setup!$E$6="",Bench_Setup!$E$7=""),"",IF(EOMONTH(Bench_Setup!$E$6,152)&lt;=Bench_Setup!$E$7,EOMONTH(Bench_Setup!$E$6,152),""))</f>
        <v/>
      </c>
      <c r="D160" s="46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</row>
    <row r="161" spans="2:53" x14ac:dyDescent="0.2">
      <c r="B161" s="25" t="str">
        <f t="shared" si="4"/>
        <v/>
      </c>
      <c r="C161" s="48" t="str">
        <f>IF(OR(Bench_Setup!$E$6="",Bench_Setup!$E$7=""),"",IF(EOMONTH(Bench_Setup!$E$6,153)&lt;=Bench_Setup!$E$7,EOMONTH(Bench_Setup!$E$6,153),""))</f>
        <v/>
      </c>
      <c r="D161" s="46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</row>
    <row r="162" spans="2:53" x14ac:dyDescent="0.2">
      <c r="B162" s="25" t="str">
        <f t="shared" si="4"/>
        <v/>
      </c>
      <c r="C162" s="48" t="str">
        <f>IF(OR(Bench_Setup!$E$6="",Bench_Setup!$E$7=""),"",IF(EOMONTH(Bench_Setup!$E$6,154)&lt;=Bench_Setup!$E$7,EOMONTH(Bench_Setup!$E$6,154),""))</f>
        <v/>
      </c>
      <c r="D162" s="46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</row>
    <row r="163" spans="2:53" x14ac:dyDescent="0.2">
      <c r="B163" s="25" t="str">
        <f t="shared" si="4"/>
        <v/>
      </c>
      <c r="C163" s="48" t="str">
        <f>IF(OR(Bench_Setup!$E$6="",Bench_Setup!$E$7=""),"",IF(EOMONTH(Bench_Setup!$E$6,155)&lt;=Bench_Setup!$E$7,EOMONTH(Bench_Setup!$E$6,155),""))</f>
        <v/>
      </c>
      <c r="D163" s="46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</row>
    <row r="164" spans="2:53" x14ac:dyDescent="0.2">
      <c r="B164" s="25" t="str">
        <f t="shared" si="4"/>
        <v/>
      </c>
      <c r="C164" s="48" t="str">
        <f>IF(OR(Bench_Setup!$E$6="",Bench_Setup!$E$7=""),"",IF(EOMONTH(Bench_Setup!$E$6,156)&lt;=Bench_Setup!$E$7,EOMONTH(Bench_Setup!$E$6,156),""))</f>
        <v/>
      </c>
      <c r="D164" s="46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</row>
    <row r="165" spans="2:53" x14ac:dyDescent="0.2">
      <c r="B165" s="25" t="str">
        <f t="shared" si="4"/>
        <v/>
      </c>
      <c r="C165" s="48" t="str">
        <f>IF(OR(Bench_Setup!$E$6="",Bench_Setup!$E$7=""),"",IF(EOMONTH(Bench_Setup!$E$6,157)&lt;=Bench_Setup!$E$7,EOMONTH(Bench_Setup!$E$6,157),""))</f>
        <v/>
      </c>
      <c r="D165" s="46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</row>
    <row r="166" spans="2:53" x14ac:dyDescent="0.2">
      <c r="B166" s="25" t="str">
        <f t="shared" si="4"/>
        <v/>
      </c>
      <c r="C166" s="48" t="str">
        <f>IF(OR(Bench_Setup!$E$6="",Bench_Setup!$E$7=""),"",IF(EOMONTH(Bench_Setup!$E$6,158)&lt;=Bench_Setup!$E$7,EOMONTH(Bench_Setup!$E$6,158),""))</f>
        <v/>
      </c>
      <c r="D166" s="46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</row>
    <row r="167" spans="2:53" x14ac:dyDescent="0.2">
      <c r="B167" s="25" t="str">
        <f t="shared" si="4"/>
        <v/>
      </c>
      <c r="C167" s="48" t="str">
        <f>IF(OR(Bench_Setup!$E$6="",Bench_Setup!$E$7=""),"",IF(EOMONTH(Bench_Setup!$E$6,159)&lt;=Bench_Setup!$E$7,EOMONTH(Bench_Setup!$E$6,159),""))</f>
        <v/>
      </c>
      <c r="D167" s="46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</row>
    <row r="168" spans="2:53" x14ac:dyDescent="0.2">
      <c r="B168" s="25" t="str">
        <f t="shared" ref="B168:B199" si="5">IF(C168="","","[ROW:"&amp;UPPER(TEXT(C168,"MMM"))&amp;"_"&amp;TEXT(C168,"YYYY")&amp;"]")</f>
        <v/>
      </c>
      <c r="C168" s="48" t="str">
        <f>IF(OR(Bench_Setup!$E$6="",Bench_Setup!$E$7=""),"",IF(EOMONTH(Bench_Setup!$E$6,160)&lt;=Bench_Setup!$E$7,EOMONTH(Bench_Setup!$E$6,160),""))</f>
        <v/>
      </c>
      <c r="D168" s="46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</row>
    <row r="169" spans="2:53" x14ac:dyDescent="0.2">
      <c r="B169" s="25" t="str">
        <f t="shared" si="5"/>
        <v/>
      </c>
      <c r="C169" s="48" t="str">
        <f>IF(OR(Bench_Setup!$E$6="",Bench_Setup!$E$7=""),"",IF(EOMONTH(Bench_Setup!$E$6,161)&lt;=Bench_Setup!$E$7,EOMONTH(Bench_Setup!$E$6,161),""))</f>
        <v/>
      </c>
      <c r="D169" s="46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</row>
    <row r="170" spans="2:53" x14ac:dyDescent="0.2">
      <c r="B170" s="25" t="str">
        <f t="shared" si="5"/>
        <v/>
      </c>
      <c r="C170" s="48" t="str">
        <f>IF(OR(Bench_Setup!$E$6="",Bench_Setup!$E$7=""),"",IF(EOMONTH(Bench_Setup!$E$6,162)&lt;=Bench_Setup!$E$7,EOMONTH(Bench_Setup!$E$6,162),""))</f>
        <v/>
      </c>
      <c r="D170" s="46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</row>
    <row r="171" spans="2:53" x14ac:dyDescent="0.2">
      <c r="B171" s="25" t="str">
        <f t="shared" si="5"/>
        <v/>
      </c>
      <c r="C171" s="48" t="str">
        <f>IF(OR(Bench_Setup!$E$6="",Bench_Setup!$E$7=""),"",IF(EOMONTH(Bench_Setup!$E$6,163)&lt;=Bench_Setup!$E$7,EOMONTH(Bench_Setup!$E$6,163),""))</f>
        <v/>
      </c>
      <c r="D171" s="46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</row>
    <row r="172" spans="2:53" x14ac:dyDescent="0.2">
      <c r="B172" s="25" t="str">
        <f t="shared" si="5"/>
        <v/>
      </c>
      <c r="C172" s="48" t="str">
        <f>IF(OR(Bench_Setup!$E$6="",Bench_Setup!$E$7=""),"",IF(EOMONTH(Bench_Setup!$E$6,164)&lt;=Bench_Setup!$E$7,EOMONTH(Bench_Setup!$E$6,164),""))</f>
        <v/>
      </c>
      <c r="D172" s="46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</row>
    <row r="173" spans="2:53" x14ac:dyDescent="0.2">
      <c r="B173" s="25" t="str">
        <f t="shared" si="5"/>
        <v/>
      </c>
      <c r="C173" s="48" t="str">
        <f>IF(OR(Bench_Setup!$E$6="",Bench_Setup!$E$7=""),"",IF(EOMONTH(Bench_Setup!$E$6,165)&lt;=Bench_Setup!$E$7,EOMONTH(Bench_Setup!$E$6,165),""))</f>
        <v/>
      </c>
      <c r="D173" s="46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</row>
    <row r="174" spans="2:53" x14ac:dyDescent="0.2">
      <c r="B174" s="25" t="str">
        <f t="shared" si="5"/>
        <v/>
      </c>
      <c r="C174" s="48" t="str">
        <f>IF(OR(Bench_Setup!$E$6="",Bench_Setup!$E$7=""),"",IF(EOMONTH(Bench_Setup!$E$6,166)&lt;=Bench_Setup!$E$7,EOMONTH(Bench_Setup!$E$6,166),""))</f>
        <v/>
      </c>
      <c r="D174" s="46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</row>
    <row r="175" spans="2:53" x14ac:dyDescent="0.2">
      <c r="B175" s="25" t="str">
        <f t="shared" si="5"/>
        <v/>
      </c>
      <c r="C175" s="48" t="str">
        <f>IF(OR(Bench_Setup!$E$6="",Bench_Setup!$E$7=""),"",IF(EOMONTH(Bench_Setup!$E$6,167)&lt;=Bench_Setup!$E$7,EOMONTH(Bench_Setup!$E$6,167),""))</f>
        <v/>
      </c>
      <c r="D175" s="46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</row>
    <row r="176" spans="2:53" x14ac:dyDescent="0.2">
      <c r="B176" s="25" t="str">
        <f t="shared" si="5"/>
        <v/>
      </c>
      <c r="C176" s="48" t="str">
        <f>IF(OR(Bench_Setup!$E$6="",Bench_Setup!$E$7=""),"",IF(EOMONTH(Bench_Setup!$E$6,168)&lt;=Bench_Setup!$E$7,EOMONTH(Bench_Setup!$E$6,168),""))</f>
        <v/>
      </c>
      <c r="D176" s="46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</row>
    <row r="177" spans="2:53" x14ac:dyDescent="0.2">
      <c r="B177" s="25" t="str">
        <f t="shared" si="5"/>
        <v/>
      </c>
      <c r="C177" s="48" t="str">
        <f>IF(OR(Bench_Setup!$E$6="",Bench_Setup!$E$7=""),"",IF(EOMONTH(Bench_Setup!$E$6,169)&lt;=Bench_Setup!$E$7,EOMONTH(Bench_Setup!$E$6,169),""))</f>
        <v/>
      </c>
      <c r="D177" s="46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</row>
    <row r="178" spans="2:53" x14ac:dyDescent="0.2">
      <c r="B178" s="25" t="str">
        <f t="shared" si="5"/>
        <v/>
      </c>
      <c r="C178" s="48" t="str">
        <f>IF(OR(Bench_Setup!$E$6="",Bench_Setup!$E$7=""),"",IF(EOMONTH(Bench_Setup!$E$6,170)&lt;=Bench_Setup!$E$7,EOMONTH(Bench_Setup!$E$6,170),""))</f>
        <v/>
      </c>
      <c r="D178" s="46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</row>
    <row r="179" spans="2:53" x14ac:dyDescent="0.2">
      <c r="B179" s="25" t="str">
        <f t="shared" si="5"/>
        <v/>
      </c>
      <c r="C179" s="48" t="str">
        <f>IF(OR(Bench_Setup!$E$6="",Bench_Setup!$E$7=""),"",IF(EOMONTH(Bench_Setup!$E$6,171)&lt;=Bench_Setup!$E$7,EOMONTH(Bench_Setup!$E$6,171),""))</f>
        <v/>
      </c>
      <c r="D179" s="46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</row>
    <row r="180" spans="2:53" x14ac:dyDescent="0.2">
      <c r="B180" s="25" t="str">
        <f t="shared" si="5"/>
        <v/>
      </c>
      <c r="C180" s="48" t="str">
        <f>IF(OR(Bench_Setup!$E$6="",Bench_Setup!$E$7=""),"",IF(EOMONTH(Bench_Setup!$E$6,172)&lt;=Bench_Setup!$E$7,EOMONTH(Bench_Setup!$E$6,172),""))</f>
        <v/>
      </c>
      <c r="D180" s="46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</row>
    <row r="181" spans="2:53" x14ac:dyDescent="0.2">
      <c r="B181" s="25" t="str">
        <f t="shared" si="5"/>
        <v/>
      </c>
      <c r="C181" s="48" t="str">
        <f>IF(OR(Bench_Setup!$E$6="",Bench_Setup!$E$7=""),"",IF(EOMONTH(Bench_Setup!$E$6,173)&lt;=Bench_Setup!$E$7,EOMONTH(Bench_Setup!$E$6,173),""))</f>
        <v/>
      </c>
      <c r="D181" s="46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</row>
    <row r="182" spans="2:53" x14ac:dyDescent="0.2">
      <c r="B182" s="25" t="str">
        <f t="shared" si="5"/>
        <v/>
      </c>
      <c r="C182" s="48" t="str">
        <f>IF(OR(Bench_Setup!$E$6="",Bench_Setup!$E$7=""),"",IF(EOMONTH(Bench_Setup!$E$6,174)&lt;=Bench_Setup!$E$7,EOMONTH(Bench_Setup!$E$6,174),""))</f>
        <v/>
      </c>
      <c r="D182" s="46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</row>
    <row r="183" spans="2:53" x14ac:dyDescent="0.2">
      <c r="B183" s="25" t="str">
        <f t="shared" si="5"/>
        <v/>
      </c>
      <c r="C183" s="48" t="str">
        <f>IF(OR(Bench_Setup!$E$6="",Bench_Setup!$E$7=""),"",IF(EOMONTH(Bench_Setup!$E$6,175)&lt;=Bench_Setup!$E$7,EOMONTH(Bench_Setup!$E$6,175),""))</f>
        <v/>
      </c>
      <c r="D183" s="46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</row>
    <row r="184" spans="2:53" x14ac:dyDescent="0.2">
      <c r="B184" s="25" t="str">
        <f t="shared" si="5"/>
        <v/>
      </c>
      <c r="C184" s="48" t="str">
        <f>IF(OR(Bench_Setup!$E$6="",Bench_Setup!$E$7=""),"",IF(EOMONTH(Bench_Setup!$E$6,176)&lt;=Bench_Setup!$E$7,EOMONTH(Bench_Setup!$E$6,176),""))</f>
        <v/>
      </c>
      <c r="D184" s="46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</row>
    <row r="185" spans="2:53" x14ac:dyDescent="0.2">
      <c r="B185" s="25" t="str">
        <f t="shared" si="5"/>
        <v/>
      </c>
      <c r="C185" s="48" t="str">
        <f>IF(OR(Bench_Setup!$E$6="",Bench_Setup!$E$7=""),"",IF(EOMONTH(Bench_Setup!$E$6,177)&lt;=Bench_Setup!$E$7,EOMONTH(Bench_Setup!$E$6,177),""))</f>
        <v/>
      </c>
      <c r="D185" s="46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</row>
    <row r="186" spans="2:53" x14ac:dyDescent="0.2">
      <c r="B186" s="25" t="str">
        <f t="shared" si="5"/>
        <v/>
      </c>
      <c r="C186" s="48" t="str">
        <f>IF(OR(Bench_Setup!$E$6="",Bench_Setup!$E$7=""),"",IF(EOMONTH(Bench_Setup!$E$6,178)&lt;=Bench_Setup!$E$7,EOMONTH(Bench_Setup!$E$6,178),""))</f>
        <v/>
      </c>
      <c r="D186" s="46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</row>
    <row r="187" spans="2:53" x14ac:dyDescent="0.2">
      <c r="B187" s="25" t="str">
        <f t="shared" si="5"/>
        <v/>
      </c>
      <c r="C187" s="49" t="str">
        <f>IF(OR(Bench_Setup!$E$6="",Bench_Setup!$E$7=""),"",IF(EOMONTH(Bench_Setup!$E$6,179)&lt;=Bench_Setup!$E$7,EOMONTH(Bench_Setup!$E$6,179),""))</f>
        <v/>
      </c>
      <c r="D187" s="46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</row>
  </sheetData>
  <sheetProtection sheet="1" formatCells="0" formatColumns="0" formatRows="0" sort="0" autoFilter="0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C15"/>
  <sheetViews>
    <sheetView workbookViewId="0">
      <pane xSplit="3" ySplit="5" topLeftCell="D6" activePane="bottomRight" state="frozen"/>
      <selection pane="topRight"/>
      <selection pane="bottomLeft"/>
      <selection pane="bottomRight" activeCell="F18" sqref="F18"/>
    </sheetView>
  </sheetViews>
  <sheetFormatPr baseColWidth="10" defaultColWidth="8.83203125" defaultRowHeight="15" x14ac:dyDescent="0.2"/>
  <cols>
    <col min="1" max="1" width="8.83203125" style="1" customWidth="1"/>
    <col min="2" max="2" width="4" hidden="1" customWidth="1"/>
    <col min="3" max="3" width="22" style="1" customWidth="1"/>
    <col min="4" max="53" width="9" style="1" customWidth="1"/>
    <col min="54" max="54" width="7" style="1" customWidth="1"/>
    <col min="55" max="55" width="8" style="1" customWidth="1"/>
    <col min="56" max="56" width="8.83203125" style="1" customWidth="1"/>
    <col min="57" max="16384" width="8.83203125" style="1"/>
  </cols>
  <sheetData>
    <row r="1" spans="2:55" x14ac:dyDescent="0.2">
      <c r="B1" s="1"/>
    </row>
    <row r="2" spans="2:55" ht="18" customHeight="1" x14ac:dyDescent="0.2">
      <c r="B2" s="1"/>
      <c r="D2" s="2" t="s">
        <v>139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3"/>
    </row>
    <row r="3" spans="2:55" x14ac:dyDescent="0.2">
      <c r="B3" s="1"/>
      <c r="D3" s="4" t="s">
        <v>140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5"/>
    </row>
    <row r="4" spans="2:55" x14ac:dyDescent="0.2">
      <c r="B4" s="1"/>
      <c r="D4" s="59" t="str">
        <f>IF(Bench_Setup!D12="","",Bench_Setup!D12)</f>
        <v>US Equity</v>
      </c>
      <c r="E4" s="60" t="str">
        <f>IF(Bench_Setup!D13="","",Bench_Setup!D13)</f>
        <v>Intl Equity</v>
      </c>
      <c r="F4" s="60" t="str">
        <f>IF(Bench_Setup!D14="","",Bench_Setup!D14)</f>
        <v>EM Equity</v>
      </c>
      <c r="G4" s="60" t="str">
        <f>IF(Bench_Setup!D15="","",Bench_Setup!D15)</f>
        <v>Global Equity</v>
      </c>
      <c r="H4" s="60" t="str">
        <f>IF(Bench_Setup!D16="","",Bench_Setup!D16)</f>
        <v>Hedge Funds</v>
      </c>
      <c r="I4" s="60" t="str">
        <f>IF(Bench_Setup!D17="","",Bench_Setup!D17)</f>
        <v>Hedge Funds</v>
      </c>
      <c r="J4" s="60" t="str">
        <f>IF(Bench_Setup!D18="","",Bench_Setup!D18)</f>
        <v>Fixed Income</v>
      </c>
      <c r="K4" s="60" t="str">
        <f>IF(Bench_Setup!D19="","",Bench_Setup!D19)</f>
        <v>Fixed Income</v>
      </c>
      <c r="L4" s="60" t="str">
        <f>IF(Bench_Setup!D20="","",Bench_Setup!D20)</f>
        <v>Cash</v>
      </c>
      <c r="M4" s="60" t="str">
        <f>IF(Bench_Setup!D21="","",Bench_Setup!D21)</f>
        <v/>
      </c>
      <c r="N4" s="60" t="str">
        <f>IF(Bench_Setup!D22="","",Bench_Setup!D22)</f>
        <v/>
      </c>
      <c r="O4" s="60" t="str">
        <f>IF(Bench_Setup!D23="","",Bench_Setup!D23)</f>
        <v/>
      </c>
      <c r="P4" s="60" t="str">
        <f>IF(Bench_Setup!D24="","",Bench_Setup!D24)</f>
        <v/>
      </c>
      <c r="Q4" s="60" t="str">
        <f>IF(Bench_Setup!D25="","",Bench_Setup!D25)</f>
        <v/>
      </c>
      <c r="R4" s="60" t="str">
        <f>IF(Bench_Setup!D26="","",Bench_Setup!D26)</f>
        <v/>
      </c>
      <c r="S4" s="60" t="str">
        <f>IF(Bench_Setup!D27="","",Bench_Setup!D27)</f>
        <v/>
      </c>
      <c r="T4" s="60" t="str">
        <f>IF(Bench_Setup!D28="","",Bench_Setup!D28)</f>
        <v/>
      </c>
      <c r="U4" s="60" t="str">
        <f>IF(Bench_Setup!D29="","",Bench_Setup!D29)</f>
        <v/>
      </c>
      <c r="V4" s="60" t="str">
        <f>IF(Bench_Setup!D30="","",Bench_Setup!D30)</f>
        <v/>
      </c>
      <c r="W4" s="60" t="str">
        <f>IF(Bench_Setup!D31="","",Bench_Setup!D31)</f>
        <v/>
      </c>
      <c r="X4" s="60" t="str">
        <f>IF(Bench_Setup!D32="","",Bench_Setup!D32)</f>
        <v/>
      </c>
      <c r="Y4" s="60" t="str">
        <f>IF(Bench_Setup!D33="","",Bench_Setup!D33)</f>
        <v/>
      </c>
      <c r="Z4" s="60" t="str">
        <f>IF(Bench_Setup!D34="","",Bench_Setup!D34)</f>
        <v/>
      </c>
      <c r="AA4" s="60" t="str">
        <f>IF(Bench_Setup!D35="","",Bench_Setup!D35)</f>
        <v/>
      </c>
      <c r="AB4" s="60" t="str">
        <f>IF(Bench_Setup!D36="","",Bench_Setup!D36)</f>
        <v/>
      </c>
      <c r="AC4" s="60" t="str">
        <f>IF(Bench_Setup!D37="","",Bench_Setup!D37)</f>
        <v/>
      </c>
      <c r="AD4" s="60" t="str">
        <f>IF(Bench_Setup!D38="","",Bench_Setup!D38)</f>
        <v/>
      </c>
      <c r="AE4" s="60" t="str">
        <f>IF(Bench_Setup!D39="","",Bench_Setup!D39)</f>
        <v/>
      </c>
      <c r="AF4" s="60" t="str">
        <f>IF(Bench_Setup!D40="","",Bench_Setup!D40)</f>
        <v/>
      </c>
      <c r="AG4" s="60" t="str">
        <f>IF(Bench_Setup!D41="","",Bench_Setup!D41)</f>
        <v/>
      </c>
      <c r="AH4" s="60" t="str">
        <f>IF(Bench_Setup!D42="","",Bench_Setup!D42)</f>
        <v/>
      </c>
      <c r="AI4" s="60" t="str">
        <f>IF(Bench_Setup!D43="","",Bench_Setup!D43)</f>
        <v/>
      </c>
      <c r="AJ4" s="60" t="str">
        <f>IF(Bench_Setup!D44="","",Bench_Setup!D44)</f>
        <v/>
      </c>
      <c r="AK4" s="60" t="str">
        <f>IF(Bench_Setup!D45="","",Bench_Setup!D45)</f>
        <v/>
      </c>
      <c r="AL4" s="60" t="str">
        <f>IF(Bench_Setup!D46="","",Bench_Setup!D46)</f>
        <v/>
      </c>
      <c r="AM4" s="60" t="str">
        <f>IF(Bench_Setup!D47="","",Bench_Setup!D47)</f>
        <v/>
      </c>
      <c r="AN4" s="60" t="str">
        <f>IF(Bench_Setup!D48="","",Bench_Setup!D48)</f>
        <v/>
      </c>
      <c r="AO4" s="60" t="str">
        <f>IF(Bench_Setup!D49="","",Bench_Setup!D49)</f>
        <v/>
      </c>
      <c r="AP4" s="60" t="str">
        <f>IF(Bench_Setup!D50="","",Bench_Setup!D50)</f>
        <v/>
      </c>
      <c r="AQ4" s="60" t="str">
        <f>IF(Bench_Setup!D51="","",Bench_Setup!D51)</f>
        <v/>
      </c>
      <c r="AR4" s="60" t="str">
        <f>IF(Bench_Setup!D52="","",Bench_Setup!D52)</f>
        <v/>
      </c>
      <c r="AS4" s="60" t="str">
        <f>IF(Bench_Setup!D53="","",Bench_Setup!D53)</f>
        <v/>
      </c>
      <c r="AT4" s="60" t="str">
        <f>IF(Bench_Setup!D54="","",Bench_Setup!D54)</f>
        <v/>
      </c>
      <c r="AU4" s="60" t="str">
        <f>IF(Bench_Setup!D55="","",Bench_Setup!D55)</f>
        <v/>
      </c>
      <c r="AV4" s="60" t="str">
        <f>IF(Bench_Setup!D56="","",Bench_Setup!D56)</f>
        <v/>
      </c>
      <c r="AW4" s="60" t="str">
        <f>IF(Bench_Setup!D57="","",Bench_Setup!D57)</f>
        <v/>
      </c>
      <c r="AX4" s="60" t="str">
        <f>IF(Bench_Setup!D58="","",Bench_Setup!D58)</f>
        <v/>
      </c>
      <c r="AY4" s="60" t="str">
        <f>IF(Bench_Setup!D59="","",Bench_Setup!D59)</f>
        <v/>
      </c>
      <c r="AZ4" s="60" t="str">
        <f>IF(Bench_Setup!D60="","",Bench_Setup!D60)</f>
        <v/>
      </c>
      <c r="BA4" s="60" t="str">
        <f>IF(Bench_Setup!D61="","",Bench_Setup!D61)</f>
        <v/>
      </c>
      <c r="BB4" s="15"/>
      <c r="BC4" s="5"/>
    </row>
    <row r="5" spans="2:55" x14ac:dyDescent="0.2">
      <c r="B5" s="57" t="s">
        <v>8</v>
      </c>
      <c r="C5" s="61" t="s">
        <v>141</v>
      </c>
      <c r="D5" s="62" t="str">
        <f>IF(Bench_Setup!C12="","",Bench_Setup!C12)</f>
        <v>S&amp;P 500</v>
      </c>
      <c r="E5" s="62" t="str">
        <f>IF(Bench_Setup!C13="","",Bench_Setup!C13)</f>
        <v>MSCI EAFE</v>
      </c>
      <c r="F5" s="62" t="str">
        <f>IF(Bench_Setup!C14="","",Bench_Setup!C14)</f>
        <v>MSCI Emerging Markets</v>
      </c>
      <c r="G5" s="62" t="str">
        <f>IF(Bench_Setup!C15="","",Bench_Setup!C15)</f>
        <v>MSCI ACWI</v>
      </c>
      <c r="H5" s="62" t="str">
        <f>IF(Bench_Setup!C16="","",Bench_Setup!C16)</f>
        <v>HFRI Macro</v>
      </c>
      <c r="I5" s="62" t="str">
        <f>IF(Bench_Setup!C17="","",Bench_Setup!C17)</f>
        <v>HFRI Fund of Funds</v>
      </c>
      <c r="J5" s="62" t="str">
        <f>IF(Bench_Setup!C18="","",Bench_Setup!C18)</f>
        <v>Bloomberg US Agg</v>
      </c>
      <c r="K5" s="62" t="str">
        <f>IF(Bench_Setup!C19="","",Bench_Setup!C19)</f>
        <v>US Treasuries</v>
      </c>
      <c r="L5" s="62" t="str">
        <f>IF(Bench_Setup!C20="","",Bench_Setup!C20)</f>
        <v>3-Month T-Bill</v>
      </c>
      <c r="M5" s="62" t="str">
        <f>IF(Bench_Setup!C21="","",Bench_Setup!C21)</f>
        <v/>
      </c>
      <c r="N5" s="62" t="str">
        <f>IF(Bench_Setup!C22="","",Bench_Setup!C22)</f>
        <v/>
      </c>
      <c r="O5" s="62" t="str">
        <f>IF(Bench_Setup!C23="","",Bench_Setup!C23)</f>
        <v/>
      </c>
      <c r="P5" s="62" t="str">
        <f>IF(Bench_Setup!C24="","",Bench_Setup!C24)</f>
        <v/>
      </c>
      <c r="Q5" s="62" t="str">
        <f>IF(Bench_Setup!C25="","",Bench_Setup!C25)</f>
        <v/>
      </c>
      <c r="R5" s="62" t="str">
        <f>IF(Bench_Setup!C26="","",Bench_Setup!C26)</f>
        <v/>
      </c>
      <c r="S5" s="62" t="str">
        <f>IF(Bench_Setup!C27="","",Bench_Setup!C27)</f>
        <v/>
      </c>
      <c r="T5" s="62" t="str">
        <f>IF(Bench_Setup!C28="","",Bench_Setup!C28)</f>
        <v/>
      </c>
      <c r="U5" s="62" t="str">
        <f>IF(Bench_Setup!C29="","",Bench_Setup!C29)</f>
        <v/>
      </c>
      <c r="V5" s="62" t="str">
        <f>IF(Bench_Setup!C30="","",Bench_Setup!C30)</f>
        <v/>
      </c>
      <c r="W5" s="62" t="str">
        <f>IF(Bench_Setup!C31="","",Bench_Setup!C31)</f>
        <v/>
      </c>
      <c r="X5" s="62" t="str">
        <f>IF(Bench_Setup!C32="","",Bench_Setup!C32)</f>
        <v/>
      </c>
      <c r="Y5" s="62" t="str">
        <f>IF(Bench_Setup!C33="","",Bench_Setup!C33)</f>
        <v/>
      </c>
      <c r="Z5" s="62" t="str">
        <f>IF(Bench_Setup!C34="","",Bench_Setup!C34)</f>
        <v/>
      </c>
      <c r="AA5" s="62" t="str">
        <f>IF(Bench_Setup!C35="","",Bench_Setup!C35)</f>
        <v/>
      </c>
      <c r="AB5" s="62" t="str">
        <f>IF(Bench_Setup!C36="","",Bench_Setup!C36)</f>
        <v/>
      </c>
      <c r="AC5" s="62" t="str">
        <f>IF(Bench_Setup!C37="","",Bench_Setup!C37)</f>
        <v/>
      </c>
      <c r="AD5" s="62" t="str">
        <f>IF(Bench_Setup!C38="","",Bench_Setup!C38)</f>
        <v/>
      </c>
      <c r="AE5" s="62" t="str">
        <f>IF(Bench_Setup!C39="","",Bench_Setup!C39)</f>
        <v/>
      </c>
      <c r="AF5" s="62" t="str">
        <f>IF(Bench_Setup!C40="","",Bench_Setup!C40)</f>
        <v/>
      </c>
      <c r="AG5" s="62" t="str">
        <f>IF(Bench_Setup!C41="","",Bench_Setup!C41)</f>
        <v/>
      </c>
      <c r="AH5" s="62" t="str">
        <f>IF(Bench_Setup!C42="","",Bench_Setup!C42)</f>
        <v/>
      </c>
      <c r="AI5" s="62" t="str">
        <f>IF(Bench_Setup!C43="","",Bench_Setup!C43)</f>
        <v/>
      </c>
      <c r="AJ5" s="62" t="str">
        <f>IF(Bench_Setup!C44="","",Bench_Setup!C44)</f>
        <v/>
      </c>
      <c r="AK5" s="62" t="str">
        <f>IF(Bench_Setup!C45="","",Bench_Setup!C45)</f>
        <v/>
      </c>
      <c r="AL5" s="62" t="str">
        <f>IF(Bench_Setup!C46="","",Bench_Setup!C46)</f>
        <v/>
      </c>
      <c r="AM5" s="62" t="str">
        <f>IF(Bench_Setup!C47="","",Bench_Setup!C47)</f>
        <v/>
      </c>
      <c r="AN5" s="62" t="str">
        <f>IF(Bench_Setup!C48="","",Bench_Setup!C48)</f>
        <v/>
      </c>
      <c r="AO5" s="62" t="str">
        <f>IF(Bench_Setup!C49="","",Bench_Setup!C49)</f>
        <v/>
      </c>
      <c r="AP5" s="62" t="str">
        <f>IF(Bench_Setup!C50="","",Bench_Setup!C50)</f>
        <v/>
      </c>
      <c r="AQ5" s="62" t="str">
        <f>IF(Bench_Setup!C51="","",Bench_Setup!C51)</f>
        <v/>
      </c>
      <c r="AR5" s="62" t="str">
        <f>IF(Bench_Setup!C52="","",Bench_Setup!C52)</f>
        <v/>
      </c>
      <c r="AS5" s="62" t="str">
        <f>IF(Bench_Setup!C53="","",Bench_Setup!C53)</f>
        <v/>
      </c>
      <c r="AT5" s="62" t="str">
        <f>IF(Bench_Setup!C54="","",Bench_Setup!C54)</f>
        <v/>
      </c>
      <c r="AU5" s="62" t="str">
        <f>IF(Bench_Setup!C55="","",Bench_Setup!C55)</f>
        <v/>
      </c>
      <c r="AV5" s="62" t="str">
        <f>IF(Bench_Setup!C56="","",Bench_Setup!C56)</f>
        <v/>
      </c>
      <c r="AW5" s="62" t="str">
        <f>IF(Bench_Setup!C57="","",Bench_Setup!C57)</f>
        <v/>
      </c>
      <c r="AX5" s="62" t="str">
        <f>IF(Bench_Setup!C58="","",Bench_Setup!C58)</f>
        <v/>
      </c>
      <c r="AY5" s="62" t="str">
        <f>IF(Bench_Setup!C59="","",Bench_Setup!C59)</f>
        <v/>
      </c>
      <c r="AZ5" s="62" t="str">
        <f>IF(Bench_Setup!C60="","",Bench_Setup!C60)</f>
        <v/>
      </c>
      <c r="BA5" s="62" t="str">
        <f>IF(Bench_Setup!C61="","",Bench_Setup!C61)</f>
        <v/>
      </c>
      <c r="BB5" s="63" t="s">
        <v>142</v>
      </c>
      <c r="BC5" s="64" t="s">
        <v>143</v>
      </c>
    </row>
    <row r="6" spans="2:55" x14ac:dyDescent="0.2">
      <c r="B6" s="58">
        <v>1</v>
      </c>
      <c r="C6" s="65" t="s">
        <v>144</v>
      </c>
      <c r="D6" s="55"/>
      <c r="E6" s="55"/>
      <c r="F6" s="55"/>
      <c r="G6" s="55">
        <v>0.6</v>
      </c>
      <c r="H6" s="55"/>
      <c r="I6" s="55"/>
      <c r="J6" s="55">
        <v>0.4</v>
      </c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6">
        <f t="shared" ref="BB6:BB15" si="0">SUM(D6:BA6)</f>
        <v>1</v>
      </c>
      <c r="BC6" s="66" t="str">
        <f t="shared" ref="BC6:BC15" si="1">IF(C6="","",IF(ABS(BB6-1)&lt;0.001,"✓","≠ 100%"))</f>
        <v>✓</v>
      </c>
    </row>
    <row r="7" spans="2:55" x14ac:dyDescent="0.2">
      <c r="B7" s="58">
        <v>2</v>
      </c>
      <c r="C7" s="65" t="s">
        <v>145</v>
      </c>
      <c r="D7" s="55">
        <v>0.7</v>
      </c>
      <c r="E7" s="55"/>
      <c r="F7" s="55"/>
      <c r="G7" s="55"/>
      <c r="H7" s="55"/>
      <c r="I7" s="55"/>
      <c r="J7" s="55">
        <v>0.3</v>
      </c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6">
        <f t="shared" si="0"/>
        <v>1</v>
      </c>
      <c r="BC7" s="66" t="str">
        <f t="shared" si="1"/>
        <v>✓</v>
      </c>
    </row>
    <row r="8" spans="2:55" x14ac:dyDescent="0.2">
      <c r="B8" s="58">
        <v>3</v>
      </c>
      <c r="C8" s="65" t="s">
        <v>146</v>
      </c>
      <c r="D8" s="55"/>
      <c r="E8" s="55"/>
      <c r="F8" s="55"/>
      <c r="G8" s="55">
        <v>0.4</v>
      </c>
      <c r="H8" s="55">
        <v>0.1</v>
      </c>
      <c r="I8" s="55">
        <v>0.2</v>
      </c>
      <c r="J8" s="55">
        <v>0.15</v>
      </c>
      <c r="K8" s="55">
        <v>0.1</v>
      </c>
      <c r="L8" s="55">
        <v>0.05</v>
      </c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6">
        <f t="shared" si="0"/>
        <v>1</v>
      </c>
      <c r="BC8" s="66" t="str">
        <f t="shared" si="1"/>
        <v>✓</v>
      </c>
    </row>
    <row r="9" spans="2:55" x14ac:dyDescent="0.2">
      <c r="B9" s="58">
        <v>4</v>
      </c>
      <c r="C9" s="6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6">
        <f t="shared" si="0"/>
        <v>0</v>
      </c>
      <c r="BC9" s="66" t="str">
        <f t="shared" si="1"/>
        <v/>
      </c>
    </row>
    <row r="10" spans="2:55" x14ac:dyDescent="0.2">
      <c r="B10" s="58">
        <v>5</v>
      </c>
      <c r="C10" s="6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6">
        <f t="shared" si="0"/>
        <v>0</v>
      </c>
      <c r="BC10" s="66" t="str">
        <f t="shared" si="1"/>
        <v/>
      </c>
    </row>
    <row r="11" spans="2:55" x14ac:dyDescent="0.2">
      <c r="B11" s="58">
        <v>6</v>
      </c>
      <c r="C11" s="6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6">
        <f t="shared" si="0"/>
        <v>0</v>
      </c>
      <c r="BC11" s="66" t="str">
        <f t="shared" si="1"/>
        <v/>
      </c>
    </row>
    <row r="12" spans="2:55" x14ac:dyDescent="0.2">
      <c r="B12" s="58">
        <v>7</v>
      </c>
      <c r="C12" s="6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6">
        <f t="shared" si="0"/>
        <v>0</v>
      </c>
      <c r="BC12" s="66" t="str">
        <f t="shared" si="1"/>
        <v/>
      </c>
    </row>
    <row r="13" spans="2:55" x14ac:dyDescent="0.2">
      <c r="B13" s="58">
        <v>8</v>
      </c>
      <c r="C13" s="6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6">
        <f t="shared" si="0"/>
        <v>0</v>
      </c>
      <c r="BC13" s="66" t="str">
        <f t="shared" si="1"/>
        <v/>
      </c>
    </row>
    <row r="14" spans="2:55" x14ac:dyDescent="0.2">
      <c r="B14" s="58">
        <v>9</v>
      </c>
      <c r="C14" s="6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6">
        <f t="shared" si="0"/>
        <v>0</v>
      </c>
      <c r="BC14" s="66" t="str">
        <f t="shared" si="1"/>
        <v/>
      </c>
    </row>
    <row r="15" spans="2:55" x14ac:dyDescent="0.2">
      <c r="B15" s="58">
        <v>10</v>
      </c>
      <c r="C15" s="67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9">
        <f t="shared" si="0"/>
        <v>0</v>
      </c>
      <c r="BC15" s="70" t="str">
        <f t="shared" si="1"/>
        <v/>
      </c>
    </row>
  </sheetData>
  <sheetProtection sheet="1" formatCells="0" formatColumns="0" formatRows="0" sort="0" autoFilter="0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HOW TO</vt:lpstr>
      <vt:lpstr>_CONFIG</vt:lpstr>
      <vt:lpstr>Checks</vt:lpstr>
      <vt:lpstr>Bench_Setup</vt:lpstr>
      <vt:lpstr>Bench_Returns</vt:lpstr>
      <vt:lpstr>Blends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Matthew Ward</cp:lastModifiedBy>
  <dcterms:created xsi:type="dcterms:W3CDTF">2026-03-22T16:18:43Z</dcterms:created>
  <dcterms:modified xsi:type="dcterms:W3CDTF">2026-03-22T16:50:05Z</dcterms:modified>
</cp:coreProperties>
</file>